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ml.chartshapes+xml"/>
  <Override PartName="/xl/charts/style6.xml" ContentType="application/vnd.ms-office.chartsty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Override PartName="/xl/charts/style4.xml" ContentType="application/vnd.ms-office.chartstyle+xml"/>
  <Default Extension="rels" ContentType="application/vnd.openxmlformats-package.relationships+xml"/>
  <Default Extension="wmf" ContentType="image/x-wmf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ml.chartshapes+xml"/>
  <Override PartName="/xl/charts/colors9.xml" ContentType="application/vnd.ms-office.chartcolorstyle+xml"/>
  <Override PartName="/xl/charts/style2.xml" ContentType="application/vnd.ms-office.chartstyle+xml"/>
  <Override PartName="/xl/charts/colors13.xml" ContentType="application/vnd.ms-office.chartcolorstyle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Default Extension="png" ContentType="image/png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style7.xml" ContentType="application/vnd.ms-office.chartstyle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+xml"/>
  <Override PartName="/xl/charts/style5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1620" yWindow="0" windowWidth="19440" windowHeight="8115"/>
  </bookViews>
  <sheets>
    <sheet name="Gesamt" sheetId="5" r:id="rId1"/>
    <sheet name="Bräunling" sheetId="1" r:id="rId2"/>
    <sheet name="Scholz" sheetId="2" r:id="rId3"/>
    <sheet name="Howe" sheetId="4" r:id="rId4"/>
    <sheet name="(c)" sheetId="6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1"/>
  <c r="F53"/>
  <c r="F62" i="5" l="1"/>
  <c r="G62"/>
  <c r="H62"/>
  <c r="I62"/>
  <c r="J62"/>
  <c r="K62"/>
  <c r="L62"/>
  <c r="M62"/>
  <c r="N62"/>
  <c r="O62"/>
  <c r="P62"/>
  <c r="Q62"/>
  <c r="F61"/>
  <c r="G61"/>
  <c r="H61"/>
  <c r="I61"/>
  <c r="J61"/>
  <c r="K61"/>
  <c r="L61"/>
  <c r="M61"/>
  <c r="N61"/>
  <c r="O61"/>
  <c r="P61"/>
  <c r="Q61"/>
  <c r="F60"/>
  <c r="G60"/>
  <c r="H60"/>
  <c r="I60"/>
  <c r="J60"/>
  <c r="K60"/>
  <c r="L60"/>
  <c r="M60"/>
  <c r="N60"/>
  <c r="O60"/>
  <c r="P60"/>
  <c r="Q60"/>
  <c r="F57"/>
  <c r="G57"/>
  <c r="H57"/>
  <c r="I57"/>
  <c r="J57"/>
  <c r="K57"/>
  <c r="L57"/>
  <c r="M57"/>
  <c r="N57"/>
  <c r="O57"/>
  <c r="P57"/>
  <c r="Q57"/>
  <c r="F56"/>
  <c r="G56"/>
  <c r="H56"/>
  <c r="I56"/>
  <c r="J56"/>
  <c r="K56"/>
  <c r="L56"/>
  <c r="M56"/>
  <c r="N56"/>
  <c r="O56"/>
  <c r="P56"/>
  <c r="Q56"/>
  <c r="F55"/>
  <c r="G55"/>
  <c r="H55"/>
  <c r="I55"/>
  <c r="J55"/>
  <c r="K55"/>
  <c r="L55"/>
  <c r="M55"/>
  <c r="N55"/>
  <c r="O55"/>
  <c r="P55"/>
  <c r="Q55"/>
  <c r="F52"/>
  <c r="G52"/>
  <c r="H52"/>
  <c r="I52"/>
  <c r="J52"/>
  <c r="K52"/>
  <c r="L52"/>
  <c r="M52"/>
  <c r="N52"/>
  <c r="O52"/>
  <c r="P52"/>
  <c r="Q52"/>
  <c r="F51"/>
  <c r="G51"/>
  <c r="H51"/>
  <c r="I51"/>
  <c r="J51"/>
  <c r="K51"/>
  <c r="L51"/>
  <c r="M51"/>
  <c r="N51"/>
  <c r="O51"/>
  <c r="P51"/>
  <c r="Q51"/>
  <c r="F50"/>
  <c r="G50"/>
  <c r="H50"/>
  <c r="I50"/>
  <c r="J50"/>
  <c r="K50"/>
  <c r="L50"/>
  <c r="M50"/>
  <c r="N50"/>
  <c r="O50"/>
  <c r="P50"/>
  <c r="Q50"/>
  <c r="F74" i="1"/>
  <c r="F46" i="5"/>
  <c r="G46"/>
  <c r="H46"/>
  <c r="I46"/>
  <c r="J46"/>
  <c r="K46"/>
  <c r="L46"/>
  <c r="M46"/>
  <c r="N46"/>
  <c r="O46"/>
  <c r="P46"/>
  <c r="Q46"/>
  <c r="F47"/>
  <c r="G47"/>
  <c r="H47"/>
  <c r="I47"/>
  <c r="J47"/>
  <c r="K47"/>
  <c r="L47"/>
  <c r="M47"/>
  <c r="N47"/>
  <c r="O47"/>
  <c r="P47"/>
  <c r="Q47"/>
  <c r="F44"/>
  <c r="G44"/>
  <c r="H44"/>
  <c r="I44"/>
  <c r="J44"/>
  <c r="K44"/>
  <c r="L44"/>
  <c r="M44"/>
  <c r="N44"/>
  <c r="O44"/>
  <c r="P44"/>
  <c r="Q44"/>
  <c r="F45"/>
  <c r="G45"/>
  <c r="H45"/>
  <c r="I45"/>
  <c r="J45"/>
  <c r="K45"/>
  <c r="L45"/>
  <c r="M45"/>
  <c r="N45"/>
  <c r="O45"/>
  <c r="P45"/>
  <c r="Q45"/>
  <c r="F42"/>
  <c r="G42"/>
  <c r="H42"/>
  <c r="I42"/>
  <c r="J42"/>
  <c r="K42"/>
  <c r="L42"/>
  <c r="M42"/>
  <c r="N42"/>
  <c r="O42"/>
  <c r="P42"/>
  <c r="Q42"/>
  <c r="F43"/>
  <c r="G43"/>
  <c r="H43"/>
  <c r="I43"/>
  <c r="J43"/>
  <c r="K43"/>
  <c r="L43"/>
  <c r="M43"/>
  <c r="N43"/>
  <c r="O43"/>
  <c r="P43"/>
  <c r="Q43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4"/>
  <c r="G24"/>
  <c r="H24"/>
  <c r="I24"/>
  <c r="J24"/>
  <c r="K24"/>
  <c r="L24"/>
  <c r="M24"/>
  <c r="N24"/>
  <c r="O24"/>
  <c r="P24"/>
  <c r="Q24"/>
  <c r="K46" i="2"/>
  <c r="L46"/>
  <c r="F23" i="5"/>
  <c r="G23"/>
  <c r="H23"/>
  <c r="I23"/>
  <c r="J23"/>
  <c r="K23"/>
  <c r="L23"/>
  <c r="M23"/>
  <c r="N23"/>
  <c r="O23"/>
  <c r="P23"/>
  <c r="Q23"/>
  <c r="F22"/>
  <c r="G22"/>
  <c r="H22"/>
  <c r="I22"/>
  <c r="J22"/>
  <c r="K22"/>
  <c r="L22"/>
  <c r="M22"/>
  <c r="N22"/>
  <c r="O22"/>
  <c r="P22"/>
  <c r="Q22"/>
  <c r="F19"/>
  <c r="G19"/>
  <c r="H19"/>
  <c r="I19"/>
  <c r="J19"/>
  <c r="K19"/>
  <c r="L19"/>
  <c r="M19"/>
  <c r="N19"/>
  <c r="O19"/>
  <c r="P19"/>
  <c r="Q19"/>
  <c r="F18"/>
  <c r="G18"/>
  <c r="H18"/>
  <c r="I18"/>
  <c r="J18"/>
  <c r="K18"/>
  <c r="L18"/>
  <c r="M18"/>
  <c r="N18"/>
  <c r="O18"/>
  <c r="P18"/>
  <c r="Q18"/>
  <c r="F17"/>
  <c r="G17"/>
  <c r="H17"/>
  <c r="I17"/>
  <c r="J17"/>
  <c r="K17"/>
  <c r="L17"/>
  <c r="M17"/>
  <c r="N17"/>
  <c r="O17"/>
  <c r="P17"/>
  <c r="Q17"/>
  <c r="F14"/>
  <c r="G14"/>
  <c r="H14"/>
  <c r="I14"/>
  <c r="J14"/>
  <c r="K14"/>
  <c r="L14"/>
  <c r="M14"/>
  <c r="N14"/>
  <c r="O14"/>
  <c r="P14"/>
  <c r="Q14"/>
  <c r="F13"/>
  <c r="G13"/>
  <c r="H13"/>
  <c r="I13"/>
  <c r="J13"/>
  <c r="K13"/>
  <c r="M13"/>
  <c r="N13"/>
  <c r="O13"/>
  <c r="P13"/>
  <c r="Q13"/>
  <c r="F12"/>
  <c r="G12"/>
  <c r="H12"/>
  <c r="I12"/>
  <c r="J12"/>
  <c r="K12"/>
  <c r="L12"/>
  <c r="M12"/>
  <c r="N12"/>
  <c r="O12"/>
  <c r="P12"/>
  <c r="Q12"/>
  <c r="F9"/>
  <c r="G9"/>
  <c r="H9"/>
  <c r="I9"/>
  <c r="J9"/>
  <c r="K9"/>
  <c r="L9"/>
  <c r="M9"/>
  <c r="N9"/>
  <c r="O9"/>
  <c r="P9"/>
  <c r="Q9"/>
  <c r="F8"/>
  <c r="G8"/>
  <c r="H8"/>
  <c r="I8"/>
  <c r="J8"/>
  <c r="K8"/>
  <c r="M8"/>
  <c r="N8"/>
  <c r="O8"/>
  <c r="P8"/>
  <c r="Q8"/>
  <c r="F7"/>
  <c r="G7"/>
  <c r="H7"/>
  <c r="I7"/>
  <c r="J7"/>
  <c r="K7"/>
  <c r="L7"/>
  <c r="M7"/>
  <c r="N7"/>
  <c r="O7"/>
  <c r="P7"/>
  <c r="Q7"/>
  <c r="Q74" i="1" l="1"/>
  <c r="U66"/>
  <c r="H72" i="2" l="1"/>
  <c r="G72"/>
  <c r="O76" i="4"/>
  <c r="I76"/>
  <c r="J76"/>
  <c r="K76"/>
  <c r="L76"/>
  <c r="M76"/>
  <c r="N76"/>
  <c r="P76"/>
  <c r="Q76"/>
  <c r="H76"/>
  <c r="G76"/>
  <c r="K72" i="2"/>
  <c r="J72"/>
  <c r="I72"/>
  <c r="F17" i="1" l="1"/>
  <c r="F53" i="4"/>
  <c r="F52" i="2"/>
  <c r="F25"/>
  <c r="G25" s="1"/>
  <c r="H25" s="1"/>
  <c r="I25" s="1"/>
  <c r="J25" s="1"/>
  <c r="K25" s="1"/>
  <c r="L25" s="1"/>
  <c r="M25" s="1"/>
  <c r="N25" s="1"/>
  <c r="O25" s="1"/>
  <c r="P25" s="1"/>
  <c r="Q25" s="1"/>
  <c r="F24"/>
  <c r="G24" s="1"/>
  <c r="H24" s="1"/>
  <c r="I24" s="1"/>
  <c r="J24" s="1"/>
  <c r="K24" s="1"/>
  <c r="L24" s="1"/>
  <c r="M24" s="1"/>
  <c r="N24" s="1"/>
  <c r="O24" s="1"/>
  <c r="P24" s="1"/>
  <c r="Q24" s="1"/>
  <c r="F25" i="4"/>
  <c r="G25" s="1"/>
  <c r="H25" s="1"/>
  <c r="I25" s="1"/>
  <c r="J25" s="1"/>
  <c r="K25" s="1"/>
  <c r="L25" s="1"/>
  <c r="M25" s="1"/>
  <c r="N25" s="1"/>
  <c r="O25" s="1"/>
  <c r="P25" s="1"/>
  <c r="Q25" s="1"/>
  <c r="F24"/>
  <c r="G24" s="1"/>
  <c r="H24" s="1"/>
  <c r="I24" s="1"/>
  <c r="J24" s="1"/>
  <c r="K24" s="1"/>
  <c r="L24" s="1"/>
  <c r="M24" s="1"/>
  <c r="N24" s="1"/>
  <c r="O24" s="1"/>
  <c r="P24" s="1"/>
  <c r="Q24" s="1"/>
  <c r="F25" i="1"/>
  <c r="G25" s="1"/>
  <c r="H25" s="1"/>
  <c r="I25" s="1"/>
  <c r="J25" s="1"/>
  <c r="K25" s="1"/>
  <c r="L25" s="1"/>
  <c r="M25" s="1"/>
  <c r="N25" s="1"/>
  <c r="O25" s="1"/>
  <c r="P25" s="1"/>
  <c r="Q25" s="1"/>
  <c r="F24"/>
  <c r="G24" s="1"/>
  <c r="H24" s="1"/>
  <c r="I24" s="1"/>
  <c r="J24" s="1"/>
  <c r="K24" s="1"/>
  <c r="L24" s="1"/>
  <c r="M24" s="1"/>
  <c r="N24" s="1"/>
  <c r="O24" s="1"/>
  <c r="P24" s="1"/>
  <c r="Q24" s="1"/>
  <c r="G52" i="2" l="1"/>
  <c r="F56" i="1"/>
  <c r="F55"/>
  <c r="G53" i="4"/>
  <c r="H53" s="1"/>
  <c r="I53" s="1"/>
  <c r="J53" s="1"/>
  <c r="K53" s="1"/>
  <c r="L53" s="1"/>
  <c r="M53" s="1"/>
  <c r="N53" s="1"/>
  <c r="O53" s="1"/>
  <c r="P53" s="1"/>
  <c r="Q53" s="1"/>
  <c r="F57" i="1"/>
  <c r="G57" s="1"/>
  <c r="H57" s="1"/>
  <c r="I57" s="1"/>
  <c r="J57" s="1"/>
  <c r="K57" s="1"/>
  <c r="L57" s="1"/>
  <c r="M57" s="1"/>
  <c r="N57" s="1"/>
  <c r="O57" s="1"/>
  <c r="P57" s="1"/>
  <c r="Q57" s="1"/>
  <c r="F54" i="4"/>
  <c r="G54" s="1"/>
  <c r="H54" s="1"/>
  <c r="I54" s="1"/>
  <c r="J54" s="1"/>
  <c r="K54" s="1"/>
  <c r="L54" s="1"/>
  <c r="M54" s="1"/>
  <c r="N54" s="1"/>
  <c r="O54" s="1"/>
  <c r="P54" s="1"/>
  <c r="Q54" s="1"/>
  <c r="G52"/>
  <c r="H52" s="1"/>
  <c r="I52" s="1"/>
  <c r="G51"/>
  <c r="H51" s="1"/>
  <c r="I51" s="1"/>
  <c r="J51" s="1"/>
  <c r="K51" s="1"/>
  <c r="L51" s="1"/>
  <c r="M51" s="1"/>
  <c r="N51" s="1"/>
  <c r="O51" s="1"/>
  <c r="P51" s="1"/>
  <c r="Q51" s="1"/>
  <c r="G50"/>
  <c r="H50" s="1"/>
  <c r="I50" s="1"/>
  <c r="J50" s="1"/>
  <c r="K50" s="1"/>
  <c r="L50" s="1"/>
  <c r="M50" s="1"/>
  <c r="N50" s="1"/>
  <c r="O50" s="1"/>
  <c r="P50" s="1"/>
  <c r="Q50" s="1"/>
  <c r="G49"/>
  <c r="H49" s="1"/>
  <c r="I49" s="1"/>
  <c r="J49" s="1"/>
  <c r="K49" s="1"/>
  <c r="L49" s="1"/>
  <c r="M49" s="1"/>
  <c r="N49" s="1"/>
  <c r="O49" s="1"/>
  <c r="P49" s="1"/>
  <c r="Q49" s="1"/>
  <c r="G48"/>
  <c r="H48" l="1"/>
  <c r="I48" s="1"/>
  <c r="J48" s="1"/>
  <c r="K48" s="1"/>
  <c r="L48" s="1"/>
  <c r="M48" s="1"/>
  <c r="N48" s="1"/>
  <c r="O48" s="1"/>
  <c r="P48" s="1"/>
  <c r="Q48" s="1"/>
  <c r="H52" i="2"/>
  <c r="J52" i="4"/>
  <c r="I52" i="2" l="1"/>
  <c r="K52" i="4"/>
  <c r="F42"/>
  <c r="G42" s="1"/>
  <c r="H42" s="1"/>
  <c r="I42" s="1"/>
  <c r="J42" s="1"/>
  <c r="K42" s="1"/>
  <c r="L42" s="1"/>
  <c r="M42" s="1"/>
  <c r="N42" s="1"/>
  <c r="O42" s="1"/>
  <c r="P42" s="1"/>
  <c r="Q42" s="1"/>
  <c r="Q40"/>
  <c r="P40"/>
  <c r="O40"/>
  <c r="N40"/>
  <c r="M40"/>
  <c r="L40"/>
  <c r="K40"/>
  <c r="J40"/>
  <c r="I40"/>
  <c r="H40"/>
  <c r="G40"/>
  <c r="F40"/>
  <c r="F39"/>
  <c r="G39" s="1"/>
  <c r="G37"/>
  <c r="H37" s="1"/>
  <c r="I37" s="1"/>
  <c r="J37" s="1"/>
  <c r="K37" s="1"/>
  <c r="L37" s="1"/>
  <c r="M37" s="1"/>
  <c r="N37" s="1"/>
  <c r="O37" s="1"/>
  <c r="P37" s="1"/>
  <c r="Q37" s="1"/>
  <c r="F37"/>
  <c r="F36"/>
  <c r="G36" s="1"/>
  <c r="H36" s="1"/>
  <c r="I36" s="1"/>
  <c r="J36" s="1"/>
  <c r="K36" s="1"/>
  <c r="L36" s="1"/>
  <c r="M36" s="1"/>
  <c r="N36" s="1"/>
  <c r="O36" s="1"/>
  <c r="P36" s="1"/>
  <c r="Q36" s="1"/>
  <c r="Q28"/>
  <c r="P28"/>
  <c r="O28"/>
  <c r="N28"/>
  <c r="M28"/>
  <c r="L28"/>
  <c r="K28"/>
  <c r="J28"/>
  <c r="I28"/>
  <c r="H28"/>
  <c r="G28"/>
  <c r="F28"/>
  <c r="Q27"/>
  <c r="P27"/>
  <c r="O27"/>
  <c r="N27"/>
  <c r="M27"/>
  <c r="L27"/>
  <c r="K27"/>
  <c r="J27"/>
  <c r="I27"/>
  <c r="H27"/>
  <c r="G27"/>
  <c r="F27"/>
  <c r="L12"/>
  <c r="L11"/>
  <c r="Q29" s="1"/>
  <c r="L10"/>
  <c r="L9"/>
  <c r="K26" s="1"/>
  <c r="K55" s="1"/>
  <c r="K46" s="1"/>
  <c r="F8"/>
  <c r="F41" s="1"/>
  <c r="G41" s="1"/>
  <c r="H41" s="1"/>
  <c r="I41" s="1"/>
  <c r="J41" s="1"/>
  <c r="K41" s="1"/>
  <c r="L41" s="1"/>
  <c r="M41" s="1"/>
  <c r="N41" s="1"/>
  <c r="O41" s="1"/>
  <c r="P41" s="1"/>
  <c r="Q41" s="1"/>
  <c r="F49" i="2"/>
  <c r="F48" s="1"/>
  <c r="F42"/>
  <c r="G42" s="1"/>
  <c r="H42" s="1"/>
  <c r="I42" s="1"/>
  <c r="J42" s="1"/>
  <c r="K42" s="1"/>
  <c r="L42" s="1"/>
  <c r="M42" s="1"/>
  <c r="N42" s="1"/>
  <c r="O42" s="1"/>
  <c r="P42" s="1"/>
  <c r="Q42" s="1"/>
  <c r="Q40"/>
  <c r="P40"/>
  <c r="O40"/>
  <c r="N40"/>
  <c r="M40"/>
  <c r="L40"/>
  <c r="K40"/>
  <c r="J40"/>
  <c r="I40"/>
  <c r="H40"/>
  <c r="G40"/>
  <c r="F40"/>
  <c r="F39"/>
  <c r="G39" s="1"/>
  <c r="H39" s="1"/>
  <c r="I39" s="1"/>
  <c r="F37"/>
  <c r="G37" s="1"/>
  <c r="H37" s="1"/>
  <c r="I37" s="1"/>
  <c r="J37" s="1"/>
  <c r="K37" s="1"/>
  <c r="L37" s="1"/>
  <c r="M37" s="1"/>
  <c r="N37" s="1"/>
  <c r="O37" s="1"/>
  <c r="P37" s="1"/>
  <c r="Q37" s="1"/>
  <c r="F36"/>
  <c r="G36" s="1"/>
  <c r="H36" s="1"/>
  <c r="I36" s="1"/>
  <c r="J36" s="1"/>
  <c r="K36" s="1"/>
  <c r="L36" s="1"/>
  <c r="M36" s="1"/>
  <c r="N36" s="1"/>
  <c r="O36" s="1"/>
  <c r="P36" s="1"/>
  <c r="Q36" s="1"/>
  <c r="Q28"/>
  <c r="P28"/>
  <c r="O28"/>
  <c r="N28"/>
  <c r="M28"/>
  <c r="L28"/>
  <c r="K28"/>
  <c r="J28"/>
  <c r="I28"/>
  <c r="H28"/>
  <c r="G28"/>
  <c r="F28"/>
  <c r="Q27"/>
  <c r="P27"/>
  <c r="O27"/>
  <c r="N27"/>
  <c r="M27"/>
  <c r="L27"/>
  <c r="K27"/>
  <c r="J27"/>
  <c r="I27"/>
  <c r="H27"/>
  <c r="G27"/>
  <c r="F27"/>
  <c r="L12"/>
  <c r="L11"/>
  <c r="L10"/>
  <c r="L9"/>
  <c r="Q26" s="1"/>
  <c r="F8"/>
  <c r="F41" s="1"/>
  <c r="G41" s="1"/>
  <c r="H41" s="1"/>
  <c r="I41" s="1"/>
  <c r="J41" s="1"/>
  <c r="K41" s="1"/>
  <c r="L41" s="1"/>
  <c r="M41" s="1"/>
  <c r="N41" s="1"/>
  <c r="O41" s="1"/>
  <c r="P41" s="1"/>
  <c r="Q41" s="1"/>
  <c r="L26" l="1"/>
  <c r="L50" s="1"/>
  <c r="H26"/>
  <c r="P26"/>
  <c r="P50" s="1"/>
  <c r="G26" i="4"/>
  <c r="G55" s="1"/>
  <c r="G46" s="1"/>
  <c r="O26"/>
  <c r="O55" s="1"/>
  <c r="K29"/>
  <c r="P29"/>
  <c r="G29"/>
  <c r="G58" s="1"/>
  <c r="O29"/>
  <c r="H35" i="2"/>
  <c r="F47"/>
  <c r="Q35"/>
  <c r="F26"/>
  <c r="F35" s="1"/>
  <c r="J26"/>
  <c r="J50" s="1"/>
  <c r="N26"/>
  <c r="N50" s="1"/>
  <c r="G49"/>
  <c r="G48" s="1"/>
  <c r="F50"/>
  <c r="F46" s="1"/>
  <c r="H50"/>
  <c r="Q50"/>
  <c r="J52"/>
  <c r="G47"/>
  <c r="H49"/>
  <c r="L52" i="4"/>
  <c r="K35"/>
  <c r="O35"/>
  <c r="P26"/>
  <c r="P55" s="1"/>
  <c r="N26"/>
  <c r="N55" s="1"/>
  <c r="L26"/>
  <c r="L55" s="1"/>
  <c r="J26"/>
  <c r="J55" s="1"/>
  <c r="J46" s="1"/>
  <c r="H26"/>
  <c r="H55" s="1"/>
  <c r="H46" s="1"/>
  <c r="F26"/>
  <c r="F55" s="1"/>
  <c r="F46" s="1"/>
  <c r="I26"/>
  <c r="I55" s="1"/>
  <c r="I46" s="1"/>
  <c r="M26"/>
  <c r="M55" s="1"/>
  <c r="Q26"/>
  <c r="Q55" s="1"/>
  <c r="I29"/>
  <c r="M29"/>
  <c r="H39"/>
  <c r="F29"/>
  <c r="H29"/>
  <c r="J29"/>
  <c r="L29"/>
  <c r="N29"/>
  <c r="P29" i="2"/>
  <c r="N29"/>
  <c r="L29"/>
  <c r="J29"/>
  <c r="F29"/>
  <c r="H29"/>
  <c r="H54" s="1"/>
  <c r="K29"/>
  <c r="O29"/>
  <c r="J39"/>
  <c r="G26"/>
  <c r="I26"/>
  <c r="K26"/>
  <c r="M26"/>
  <c r="O26"/>
  <c r="G29"/>
  <c r="G54" s="1"/>
  <c r="I29"/>
  <c r="I54" s="1"/>
  <c r="M29"/>
  <c r="Q29"/>
  <c r="H38"/>
  <c r="F50" i="1"/>
  <c r="F38" i="4" l="1"/>
  <c r="L46"/>
  <c r="L35" i="2"/>
  <c r="G38" i="4"/>
  <c r="G44" s="1"/>
  <c r="G35"/>
  <c r="P35" i="2"/>
  <c r="J35"/>
  <c r="F58" i="4"/>
  <c r="F38" i="2"/>
  <c r="N35"/>
  <c r="O35"/>
  <c r="O50"/>
  <c r="I38"/>
  <c r="G38"/>
  <c r="M35"/>
  <c r="M50"/>
  <c r="I35"/>
  <c r="I50"/>
  <c r="K35"/>
  <c r="K50"/>
  <c r="G35"/>
  <c r="G50"/>
  <c r="G46" s="1"/>
  <c r="K52"/>
  <c r="I49"/>
  <c r="H47"/>
  <c r="H48"/>
  <c r="M52" i="4"/>
  <c r="M46" s="1"/>
  <c r="Q35"/>
  <c r="I35"/>
  <c r="H35"/>
  <c r="L35"/>
  <c r="P35"/>
  <c r="H58"/>
  <c r="H38"/>
  <c r="I39"/>
  <c r="M35"/>
  <c r="F35"/>
  <c r="J35"/>
  <c r="N35"/>
  <c r="F44" i="2"/>
  <c r="F33" s="1"/>
  <c r="F54"/>
  <c r="J54"/>
  <c r="J38"/>
  <c r="K39"/>
  <c r="F8" i="1"/>
  <c r="H46" i="2" l="1"/>
  <c r="H44" s="1"/>
  <c r="H33" s="1"/>
  <c r="G44"/>
  <c r="G33" s="1"/>
  <c r="G57" s="1"/>
  <c r="G63" s="1"/>
  <c r="L52"/>
  <c r="J49"/>
  <c r="I48"/>
  <c r="I47"/>
  <c r="N52" i="4"/>
  <c r="N46" s="1"/>
  <c r="F57" i="2"/>
  <c r="F44" i="4"/>
  <c r="J39"/>
  <c r="I58"/>
  <c r="I38"/>
  <c r="G33"/>
  <c r="G61" s="1"/>
  <c r="G67" s="1"/>
  <c r="H44"/>
  <c r="H33" s="1"/>
  <c r="H61" s="1"/>
  <c r="H67" s="1"/>
  <c r="L39" i="2"/>
  <c r="K54"/>
  <c r="K38"/>
  <c r="G56" i="1"/>
  <c r="H56" s="1"/>
  <c r="I56" s="1"/>
  <c r="J56" s="1"/>
  <c r="K56" s="1"/>
  <c r="L56" s="1"/>
  <c r="M56" s="1"/>
  <c r="N56" s="1"/>
  <c r="O56" s="1"/>
  <c r="P56" s="1"/>
  <c r="Q56" s="1"/>
  <c r="F52"/>
  <c r="G52" s="1"/>
  <c r="H52" s="1"/>
  <c r="I52" s="1"/>
  <c r="J52" s="1"/>
  <c r="K52" s="1"/>
  <c r="L52" s="1"/>
  <c r="M52" s="1"/>
  <c r="N52" s="1"/>
  <c r="O52" s="1"/>
  <c r="P52" s="1"/>
  <c r="Q52" s="1"/>
  <c r="F48"/>
  <c r="G48" s="1"/>
  <c r="H48" s="1"/>
  <c r="I48" s="1"/>
  <c r="J48" s="1"/>
  <c r="K48" s="1"/>
  <c r="L48" s="1"/>
  <c r="M48" s="1"/>
  <c r="N48" s="1"/>
  <c r="O48" s="1"/>
  <c r="P48" s="1"/>
  <c r="Q48" s="1"/>
  <c r="F42"/>
  <c r="G42" s="1"/>
  <c r="H42" s="1"/>
  <c r="I42" s="1"/>
  <c r="J42" s="1"/>
  <c r="K42" s="1"/>
  <c r="L42" s="1"/>
  <c r="M42" s="1"/>
  <c r="N42" s="1"/>
  <c r="O42" s="1"/>
  <c r="P42" s="1"/>
  <c r="Q42" s="1"/>
  <c r="F41"/>
  <c r="G41" s="1"/>
  <c r="H41" s="1"/>
  <c r="I41" s="1"/>
  <c r="J41" s="1"/>
  <c r="K41" s="1"/>
  <c r="L41" s="1"/>
  <c r="M41" s="1"/>
  <c r="N41" s="1"/>
  <c r="O41" s="1"/>
  <c r="P41" s="1"/>
  <c r="Q41" s="1"/>
  <c r="G40"/>
  <c r="H40"/>
  <c r="I40"/>
  <c r="J40"/>
  <c r="K40"/>
  <c r="L40"/>
  <c r="M40"/>
  <c r="N40"/>
  <c r="O40"/>
  <c r="P40"/>
  <c r="Q40"/>
  <c r="F40"/>
  <c r="F39"/>
  <c r="F37"/>
  <c r="G37" s="1"/>
  <c r="H37" s="1"/>
  <c r="I37" s="1"/>
  <c r="J37" s="1"/>
  <c r="K37" s="1"/>
  <c r="L37" s="1"/>
  <c r="M37" s="1"/>
  <c r="N37" s="1"/>
  <c r="O37" s="1"/>
  <c r="P37" s="1"/>
  <c r="Q37" s="1"/>
  <c r="F36"/>
  <c r="G36" s="1"/>
  <c r="H36" s="1"/>
  <c r="I36" s="1"/>
  <c r="J36" s="1"/>
  <c r="K36" s="1"/>
  <c r="L36" s="1"/>
  <c r="M36" s="1"/>
  <c r="N36" s="1"/>
  <c r="O36" s="1"/>
  <c r="P36" s="1"/>
  <c r="Q36" s="1"/>
  <c r="L12"/>
  <c r="L11"/>
  <c r="L10"/>
  <c r="G28"/>
  <c r="H28"/>
  <c r="I28"/>
  <c r="J28"/>
  <c r="K28"/>
  <c r="L28"/>
  <c r="M28"/>
  <c r="N28"/>
  <c r="O28"/>
  <c r="P28"/>
  <c r="Q28"/>
  <c r="F28"/>
  <c r="G27"/>
  <c r="H27"/>
  <c r="I27"/>
  <c r="J27"/>
  <c r="K27"/>
  <c r="L27"/>
  <c r="M27"/>
  <c r="N27"/>
  <c r="O27"/>
  <c r="P27"/>
  <c r="Q27"/>
  <c r="F27"/>
  <c r="L9"/>
  <c r="Q26" s="1"/>
  <c r="F49"/>
  <c r="I46" i="2" l="1"/>
  <c r="F60"/>
  <c r="F63"/>
  <c r="G66" s="1"/>
  <c r="F47" i="1"/>
  <c r="Q35"/>
  <c r="G60" i="2"/>
  <c r="M52"/>
  <c r="I44"/>
  <c r="I33" s="1"/>
  <c r="K49"/>
  <c r="J47"/>
  <c r="J48"/>
  <c r="J26" i="1"/>
  <c r="J35" s="1"/>
  <c r="F51"/>
  <c r="P51"/>
  <c r="P53"/>
  <c r="N51"/>
  <c r="N53"/>
  <c r="L51"/>
  <c r="L53"/>
  <c r="J51"/>
  <c r="J53"/>
  <c r="H51"/>
  <c r="H53"/>
  <c r="P29"/>
  <c r="G26"/>
  <c r="G35" s="1"/>
  <c r="N26"/>
  <c r="N35" s="1"/>
  <c r="Q51"/>
  <c r="Q53"/>
  <c r="O51"/>
  <c r="O53"/>
  <c r="M51"/>
  <c r="M53"/>
  <c r="K51"/>
  <c r="K53"/>
  <c r="I51"/>
  <c r="I53"/>
  <c r="G51"/>
  <c r="G53"/>
  <c r="G55"/>
  <c r="H55" s="1"/>
  <c r="I55" s="1"/>
  <c r="J55" s="1"/>
  <c r="K55" s="1"/>
  <c r="L55" s="1"/>
  <c r="M55" s="1"/>
  <c r="N55" s="1"/>
  <c r="O55" s="1"/>
  <c r="P55" s="1"/>
  <c r="Q55" s="1"/>
  <c r="F33" i="4"/>
  <c r="F61" s="1"/>
  <c r="O52"/>
  <c r="O46" s="1"/>
  <c r="I44"/>
  <c r="I33" s="1"/>
  <c r="J58"/>
  <c r="J38"/>
  <c r="J44" s="1"/>
  <c r="J33" s="1"/>
  <c r="K39"/>
  <c r="H57" i="2"/>
  <c r="L54"/>
  <c r="L38"/>
  <c r="M39"/>
  <c r="G49" i="1"/>
  <c r="G39"/>
  <c r="H26"/>
  <c r="H35" s="1"/>
  <c r="L26"/>
  <c r="L35" s="1"/>
  <c r="P26"/>
  <c r="P35" s="1"/>
  <c r="G29"/>
  <c r="I29"/>
  <c r="K29"/>
  <c r="M29"/>
  <c r="O29"/>
  <c r="Q29"/>
  <c r="F26"/>
  <c r="F35" s="1"/>
  <c r="I26"/>
  <c r="I35" s="1"/>
  <c r="K26"/>
  <c r="K35" s="1"/>
  <c r="M26"/>
  <c r="M35" s="1"/>
  <c r="O26"/>
  <c r="O35" s="1"/>
  <c r="F29"/>
  <c r="F59" s="1"/>
  <c r="H29"/>
  <c r="J29"/>
  <c r="L29"/>
  <c r="N29"/>
  <c r="J46" i="2" l="1"/>
  <c r="J44" s="1"/>
  <c r="F64" i="4"/>
  <c r="F67"/>
  <c r="G70" s="1"/>
  <c r="G64"/>
  <c r="H60" i="2"/>
  <c r="H63"/>
  <c r="H66" s="1"/>
  <c r="F61"/>
  <c r="F69" s="1"/>
  <c r="F38" i="1"/>
  <c r="H64" i="4"/>
  <c r="N52" i="2"/>
  <c r="I57"/>
  <c r="L49"/>
  <c r="K48"/>
  <c r="K47"/>
  <c r="P52" i="4"/>
  <c r="P46" s="1"/>
  <c r="I61"/>
  <c r="L39"/>
  <c r="K38"/>
  <c r="K58"/>
  <c r="J61"/>
  <c r="M54" i="2"/>
  <c r="N39"/>
  <c r="M38"/>
  <c r="H49" i="1"/>
  <c r="G38"/>
  <c r="H39"/>
  <c r="G59"/>
  <c r="J33" i="2" l="1"/>
  <c r="J57" s="1"/>
  <c r="J60" s="1"/>
  <c r="K44"/>
  <c r="K33" s="1"/>
  <c r="J64" i="4"/>
  <c r="J67"/>
  <c r="I64"/>
  <c r="I67"/>
  <c r="H70"/>
  <c r="F65"/>
  <c r="F73" s="1"/>
  <c r="I60" i="2"/>
  <c r="I63"/>
  <c r="I66"/>
  <c r="O52"/>
  <c r="M49"/>
  <c r="L47"/>
  <c r="L48"/>
  <c r="Q52" i="4"/>
  <c r="Q46" s="1"/>
  <c r="K44"/>
  <c r="K33" s="1"/>
  <c r="L58"/>
  <c r="L38"/>
  <c r="L44" s="1"/>
  <c r="L33" s="1"/>
  <c r="M39"/>
  <c r="N54" i="2"/>
  <c r="N38"/>
  <c r="O39"/>
  <c r="K57"/>
  <c r="I49" i="1"/>
  <c r="H59"/>
  <c r="I39"/>
  <c r="H38"/>
  <c r="J63" i="2" l="1"/>
  <c r="L44"/>
  <c r="L13" i="5" s="1"/>
  <c r="I70" i="4"/>
  <c r="K60" i="2"/>
  <c r="K63"/>
  <c r="J66"/>
  <c r="P52"/>
  <c r="N49"/>
  <c r="M48"/>
  <c r="M47"/>
  <c r="N39" i="4"/>
  <c r="M58"/>
  <c r="M38"/>
  <c r="M44" s="1"/>
  <c r="M33" s="1"/>
  <c r="K61"/>
  <c r="L61"/>
  <c r="P39" i="2"/>
  <c r="O54"/>
  <c r="O38"/>
  <c r="J49" i="1"/>
  <c r="I59"/>
  <c r="J39"/>
  <c r="I38"/>
  <c r="M46" i="2" l="1"/>
  <c r="L33"/>
  <c r="L64" i="4"/>
  <c r="L67"/>
  <c r="K64"/>
  <c r="K67"/>
  <c r="J70"/>
  <c r="K66" i="2"/>
  <c r="Q52"/>
  <c r="O49"/>
  <c r="N47"/>
  <c r="N48"/>
  <c r="N58" i="4"/>
  <c r="N38"/>
  <c r="N44" s="1"/>
  <c r="O39"/>
  <c r="M61"/>
  <c r="M44" i="2"/>
  <c r="M33" s="1"/>
  <c r="P54"/>
  <c r="P38"/>
  <c r="Q39"/>
  <c r="K49" i="1"/>
  <c r="J59"/>
  <c r="J38"/>
  <c r="K39"/>
  <c r="L57" i="2" l="1"/>
  <c r="L8" i="5"/>
  <c r="L63" i="2"/>
  <c r="L66" s="1"/>
  <c r="L72" s="1"/>
  <c r="L60"/>
  <c r="N46"/>
  <c r="N44" s="1"/>
  <c r="N33" s="1"/>
  <c r="N57" s="1"/>
  <c r="N63" s="1"/>
  <c r="M64" i="4"/>
  <c r="M67"/>
  <c r="K70"/>
  <c r="N60" i="2"/>
  <c r="P49"/>
  <c r="O48"/>
  <c r="O47"/>
  <c r="N33" i="4"/>
  <c r="N61" s="1"/>
  <c r="P39"/>
  <c r="O38"/>
  <c r="O44" s="1"/>
  <c r="O33" s="1"/>
  <c r="O58"/>
  <c r="Q54" i="2"/>
  <c r="Q38"/>
  <c r="M57"/>
  <c r="L49" i="1"/>
  <c r="K59"/>
  <c r="K38"/>
  <c r="L39"/>
  <c r="O46" i="2" l="1"/>
  <c r="O44" s="1"/>
  <c r="O33" s="1"/>
  <c r="O57" s="1"/>
  <c r="N64" i="4"/>
  <c r="N67"/>
  <c r="L70"/>
  <c r="M60" i="2"/>
  <c r="M63"/>
  <c r="M66"/>
  <c r="M72" s="1"/>
  <c r="Q49"/>
  <c r="P47"/>
  <c r="P48"/>
  <c r="P58" i="4"/>
  <c r="P38"/>
  <c r="P44" s="1"/>
  <c r="P33" s="1"/>
  <c r="Q39"/>
  <c r="O61"/>
  <c r="M49" i="1"/>
  <c r="L59"/>
  <c r="L38"/>
  <c r="M39"/>
  <c r="O63" i="2" l="1"/>
  <c r="O60"/>
  <c r="P46"/>
  <c r="P44" s="1"/>
  <c r="O64" i="4"/>
  <c r="O67"/>
  <c r="M70"/>
  <c r="N66" i="2"/>
  <c r="N72" s="1"/>
  <c r="Q48"/>
  <c r="Q47"/>
  <c r="Q58" i="4"/>
  <c r="Q38"/>
  <c r="P61"/>
  <c r="N49" i="1"/>
  <c r="M59"/>
  <c r="M38"/>
  <c r="N39"/>
  <c r="Q46" i="2" l="1"/>
  <c r="P33"/>
  <c r="P57" s="1"/>
  <c r="P64" i="4"/>
  <c r="P67"/>
  <c r="N70"/>
  <c r="O66" i="2"/>
  <c r="O72" s="1"/>
  <c r="Q44"/>
  <c r="Q33" s="1"/>
  <c r="Q44" i="4"/>
  <c r="Q33" s="1"/>
  <c r="O49" i="1"/>
  <c r="N59"/>
  <c r="N38"/>
  <c r="O39"/>
  <c r="P63" i="2" l="1"/>
  <c r="P66" s="1"/>
  <c r="P72" s="1"/>
  <c r="P60"/>
  <c r="O70" i="4"/>
  <c r="Q57" i="2"/>
  <c r="Q61" i="4"/>
  <c r="P49" i="1"/>
  <c r="O59"/>
  <c r="O38"/>
  <c r="P39"/>
  <c r="Q64" i="4" l="1"/>
  <c r="Q67"/>
  <c r="T62"/>
  <c r="P70"/>
  <c r="Q60" i="2"/>
  <c r="Q63"/>
  <c r="Q66" s="1"/>
  <c r="Q72" s="1"/>
  <c r="S61"/>
  <c r="Q49" i="1"/>
  <c r="P59"/>
  <c r="P38"/>
  <c r="Q39"/>
  <c r="Q70" i="4" l="1"/>
  <c r="P62"/>
  <c r="P68" s="1"/>
  <c r="L62"/>
  <c r="L68" s="1"/>
  <c r="H62"/>
  <c r="H68" s="1"/>
  <c r="Q62"/>
  <c r="Q68" s="1"/>
  <c r="O62"/>
  <c r="O68" s="1"/>
  <c r="M62"/>
  <c r="M68" s="1"/>
  <c r="K62"/>
  <c r="K68" s="1"/>
  <c r="I62"/>
  <c r="I68" s="1"/>
  <c r="G62"/>
  <c r="G68" s="1"/>
  <c r="N62"/>
  <c r="N68" s="1"/>
  <c r="J62"/>
  <c r="J68" s="1"/>
  <c r="F62"/>
  <c r="F68" s="1"/>
  <c r="T64"/>
  <c r="P58" i="2"/>
  <c r="P64" s="1"/>
  <c r="N58"/>
  <c r="N64" s="1"/>
  <c r="L58"/>
  <c r="L64" s="1"/>
  <c r="J58"/>
  <c r="J64" s="1"/>
  <c r="H58"/>
  <c r="H64" s="1"/>
  <c r="I58"/>
  <c r="I64" s="1"/>
  <c r="F58"/>
  <c r="F64" s="1"/>
  <c r="G58"/>
  <c r="G64" s="1"/>
  <c r="Q58"/>
  <c r="Q64" s="1"/>
  <c r="O58"/>
  <c r="O64" s="1"/>
  <c r="M58"/>
  <c r="M64" s="1"/>
  <c r="K58"/>
  <c r="K64" s="1"/>
  <c r="T64"/>
  <c r="Q38" i="1"/>
  <c r="Q59"/>
  <c r="F54"/>
  <c r="F46" s="1"/>
  <c r="G50"/>
  <c r="P65" i="4" l="1"/>
  <c r="P73" s="1"/>
  <c r="Q65"/>
  <c r="Q73" s="1"/>
  <c r="O65"/>
  <c r="O73" s="1"/>
  <c r="K65"/>
  <c r="K73" s="1"/>
  <c r="G65"/>
  <c r="G73" s="1"/>
  <c r="M65"/>
  <c r="M73" s="1"/>
  <c r="I65"/>
  <c r="I73" s="1"/>
  <c r="H65"/>
  <c r="H73" s="1"/>
  <c r="L65"/>
  <c r="L73" s="1"/>
  <c r="J65"/>
  <c r="J73" s="1"/>
  <c r="N65"/>
  <c r="N73" s="1"/>
  <c r="G71"/>
  <c r="Q61" i="2"/>
  <c r="Q69" s="1"/>
  <c r="P61"/>
  <c r="P69" s="1"/>
  <c r="L61"/>
  <c r="L69" s="1"/>
  <c r="H61"/>
  <c r="H69" s="1"/>
  <c r="N61"/>
  <c r="N69" s="1"/>
  <c r="J61"/>
  <c r="J69" s="1"/>
  <c r="G61"/>
  <c r="G69" s="1"/>
  <c r="K61"/>
  <c r="K69" s="1"/>
  <c r="O61"/>
  <c r="O69" s="1"/>
  <c r="I61"/>
  <c r="I69" s="1"/>
  <c r="M61"/>
  <c r="M69" s="1"/>
  <c r="G67"/>
  <c r="F44" i="1"/>
  <c r="G54"/>
  <c r="G47"/>
  <c r="H50"/>
  <c r="I50" s="1"/>
  <c r="I47" s="1"/>
  <c r="G46" l="1"/>
  <c r="G44" s="1"/>
  <c r="G33" s="1"/>
  <c r="H71" i="4"/>
  <c r="G74"/>
  <c r="H67" i="2"/>
  <c r="G70"/>
  <c r="F33" i="1"/>
  <c r="F62" s="1"/>
  <c r="F63" s="1"/>
  <c r="H54"/>
  <c r="H47"/>
  <c r="I54"/>
  <c r="I46" s="1"/>
  <c r="J50"/>
  <c r="J47" s="1"/>
  <c r="H46" l="1"/>
  <c r="H44" s="1"/>
  <c r="H33" s="1"/>
  <c r="I71" i="4"/>
  <c r="H74"/>
  <c r="I67" i="2"/>
  <c r="H70"/>
  <c r="F69" i="1"/>
  <c r="F68"/>
  <c r="F65"/>
  <c r="G62"/>
  <c r="I44"/>
  <c r="K50"/>
  <c r="K47" s="1"/>
  <c r="J54"/>
  <c r="J46" s="1"/>
  <c r="J71" i="4" l="1"/>
  <c r="I74"/>
  <c r="J67" i="2"/>
  <c r="I70"/>
  <c r="F66" i="1"/>
  <c r="G68"/>
  <c r="G71" s="1"/>
  <c r="G77" s="1"/>
  <c r="G65"/>
  <c r="H62"/>
  <c r="J44"/>
  <c r="I33"/>
  <c r="I62" s="1"/>
  <c r="K54"/>
  <c r="K46" s="1"/>
  <c r="L50"/>
  <c r="L47" s="1"/>
  <c r="K71" i="4" l="1"/>
  <c r="J74"/>
  <c r="K67" i="2"/>
  <c r="J70"/>
  <c r="I68" i="1"/>
  <c r="I65"/>
  <c r="H68"/>
  <c r="H71" s="1"/>
  <c r="H77" s="1"/>
  <c r="H65"/>
  <c r="J33"/>
  <c r="J62" s="1"/>
  <c r="K44"/>
  <c r="M50"/>
  <c r="M47" s="1"/>
  <c r="L54"/>
  <c r="L46" s="1"/>
  <c r="L71" i="4" l="1"/>
  <c r="K74"/>
  <c r="L67" i="2"/>
  <c r="K70"/>
  <c r="I71" i="1"/>
  <c r="I77" s="1"/>
  <c r="J68"/>
  <c r="J65"/>
  <c r="L44"/>
  <c r="K33"/>
  <c r="K62" s="1"/>
  <c r="N50"/>
  <c r="N47" s="1"/>
  <c r="M54"/>
  <c r="M46" s="1"/>
  <c r="M71" i="4" l="1"/>
  <c r="L74"/>
  <c r="M67" i="2"/>
  <c r="L70"/>
  <c r="J71" i="1"/>
  <c r="J77" s="1"/>
  <c r="K68"/>
  <c r="K65"/>
  <c r="L33"/>
  <c r="L62" s="1"/>
  <c r="O50"/>
  <c r="O47" s="1"/>
  <c r="N54"/>
  <c r="N46" s="1"/>
  <c r="N71" i="4" l="1"/>
  <c r="M74"/>
  <c r="N67" i="2"/>
  <c r="M70"/>
  <c r="K71" i="1"/>
  <c r="K77" s="1"/>
  <c r="L68"/>
  <c r="L65"/>
  <c r="M44"/>
  <c r="N44"/>
  <c r="N33" s="1"/>
  <c r="O54"/>
  <c r="O46" s="1"/>
  <c r="P50"/>
  <c r="P47" s="1"/>
  <c r="O71" i="4" l="1"/>
  <c r="N74"/>
  <c r="O67" i="2"/>
  <c r="N70"/>
  <c r="N62" i="1"/>
  <c r="N65" s="1"/>
  <c r="L71"/>
  <c r="L77" s="1"/>
  <c r="N68"/>
  <c r="M33"/>
  <c r="M62" s="1"/>
  <c r="O44"/>
  <c r="O33" s="1"/>
  <c r="Q50"/>
  <c r="Q47" s="1"/>
  <c r="P54"/>
  <c r="P46" s="1"/>
  <c r="P71" i="4" l="1"/>
  <c r="O74"/>
  <c r="P67" i="2"/>
  <c r="O70"/>
  <c r="M68" i="1"/>
  <c r="M71" s="1"/>
  <c r="M77" s="1"/>
  <c r="M65"/>
  <c r="O62"/>
  <c r="P44"/>
  <c r="P33" s="1"/>
  <c r="Q54"/>
  <c r="Q46" s="1"/>
  <c r="Q71" i="4" l="1"/>
  <c r="Q74" s="1"/>
  <c r="P74"/>
  <c r="Q67" i="2"/>
  <c r="Q70" s="1"/>
  <c r="P70"/>
  <c r="N71" i="1"/>
  <c r="N77" s="1"/>
  <c r="P62"/>
  <c r="P68" s="1"/>
  <c r="O68"/>
  <c r="O65"/>
  <c r="Q44"/>
  <c r="Q33" s="1"/>
  <c r="P65" l="1"/>
  <c r="O71"/>
  <c r="O77" s="1"/>
  <c r="Q62"/>
  <c r="Q63" s="1"/>
  <c r="Q69" l="1"/>
  <c r="P71"/>
  <c r="P77" s="1"/>
  <c r="Q68"/>
  <c r="Q65"/>
  <c r="Q71" l="1"/>
  <c r="Q77" s="1"/>
  <c r="Q66"/>
  <c r="O63"/>
  <c r="O69" s="1"/>
  <c r="M63"/>
  <c r="M69" s="1"/>
  <c r="K63"/>
  <c r="K69" s="1"/>
  <c r="I63"/>
  <c r="I69" s="1"/>
  <c r="G63"/>
  <c r="G69" s="1"/>
  <c r="G72" s="1"/>
  <c r="P63"/>
  <c r="P69" s="1"/>
  <c r="N63"/>
  <c r="N69" s="1"/>
  <c r="L63"/>
  <c r="L69" s="1"/>
  <c r="J63"/>
  <c r="J69" s="1"/>
  <c r="H63"/>
  <c r="H69" s="1"/>
  <c r="H72" l="1"/>
  <c r="G75"/>
  <c r="G66"/>
  <c r="G74" s="1"/>
  <c r="P66"/>
  <c r="P74" s="1"/>
  <c r="N66"/>
  <c r="N74" s="1"/>
  <c r="L66"/>
  <c r="L74" s="1"/>
  <c r="J66"/>
  <c r="J74" s="1"/>
  <c r="H66"/>
  <c r="H74" s="1"/>
  <c r="O66"/>
  <c r="O74" s="1"/>
  <c r="M66"/>
  <c r="M74" s="1"/>
  <c r="K66"/>
  <c r="K74" s="1"/>
  <c r="I66"/>
  <c r="I74" s="1"/>
  <c r="I72" l="1"/>
  <c r="H75"/>
  <c r="J72" l="1"/>
  <c r="I75"/>
  <c r="K72" l="1"/>
  <c r="J75"/>
  <c r="L72" l="1"/>
  <c r="K75"/>
  <c r="M72" l="1"/>
  <c r="L75"/>
  <c r="N72" l="1"/>
  <c r="M75"/>
  <c r="O72" l="1"/>
  <c r="N75"/>
  <c r="P72" l="1"/>
  <c r="O75"/>
  <c r="Q72" l="1"/>
  <c r="Q75" s="1"/>
  <c r="P75"/>
</calcChain>
</file>

<file path=xl/sharedStrings.xml><?xml version="1.0" encoding="utf-8"?>
<sst xmlns="http://schemas.openxmlformats.org/spreadsheetml/2006/main" count="480" uniqueCount="134">
  <si>
    <t>Flügelfläche S</t>
  </si>
  <si>
    <t>Gaskonstante R</t>
  </si>
  <si>
    <t>Eingabeoptionen</t>
  </si>
  <si>
    <t>Medium Luft:</t>
  </si>
  <si>
    <t>R</t>
  </si>
  <si>
    <t>Masse m</t>
  </si>
  <si>
    <t>Oswaldfaktor e</t>
  </si>
  <si>
    <t>Nebenstromverhältniss</t>
  </si>
  <si>
    <t>Höhe</t>
  </si>
  <si>
    <t>Gravitationskonstante G</t>
  </si>
  <si>
    <t>Erdradius r</t>
  </si>
  <si>
    <t>m</t>
  </si>
  <si>
    <t>kg</t>
  </si>
  <si>
    <t>Nm/(kgK)</t>
  </si>
  <si>
    <t>D</t>
  </si>
  <si>
    <t>A</t>
  </si>
  <si>
    <t>B</t>
  </si>
  <si>
    <t>S</t>
  </si>
  <si>
    <t>e</t>
  </si>
  <si>
    <t>v</t>
  </si>
  <si>
    <t>T</t>
  </si>
  <si>
    <t>W</t>
  </si>
  <si>
    <t>Spannweite b</t>
  </si>
  <si>
    <t>ROC</t>
  </si>
  <si>
    <t>a</t>
  </si>
  <si>
    <t>n</t>
  </si>
  <si>
    <t>K</t>
  </si>
  <si>
    <t xml:space="preserve">Faktoren für die Schubgleichung nach Howe 2000 </t>
  </si>
  <si>
    <t>BPR</t>
  </si>
  <si>
    <t>0-0,4</t>
  </si>
  <si>
    <t>0,4-0,9</t>
  </si>
  <si>
    <t>3 bis 6</t>
  </si>
  <si>
    <t>Durchmesser d</t>
  </si>
  <si>
    <t>κ</t>
  </si>
  <si>
    <t>Druck p</t>
  </si>
  <si>
    <t>π</t>
  </si>
  <si>
    <t>µ</t>
  </si>
  <si>
    <t>Temperatur T</t>
  </si>
  <si>
    <t>σ</t>
  </si>
  <si>
    <t>(2 Triebwerke)</t>
  </si>
  <si>
    <t>Zeit t</t>
  </si>
  <si>
    <t>linear</t>
  </si>
  <si>
    <t xml:space="preserve">Geradengleichung: </t>
  </si>
  <si>
    <t>%</t>
  </si>
  <si>
    <t>Zeit linear</t>
  </si>
  <si>
    <t>ROC linear</t>
  </si>
  <si>
    <t>Geradengleichung:</t>
  </si>
  <si>
    <t xml:space="preserve">Geradensteigung: </t>
  </si>
  <si>
    <t>Steigung:</t>
  </si>
  <si>
    <t>ROC gerade</t>
  </si>
  <si>
    <t>Teit t gerade</t>
  </si>
  <si>
    <t>Zeit t linear</t>
  </si>
  <si>
    <t xml:space="preserve">Zeiten zwischen den 1000m </t>
  </si>
  <si>
    <t>Bräunling</t>
  </si>
  <si>
    <t>Scholz</t>
  </si>
  <si>
    <t>Erdbeschleunigung g</t>
  </si>
  <si>
    <t>m/s</t>
  </si>
  <si>
    <t>Konstanten (vorzugsweise nicht ändern):</t>
  </si>
  <si>
    <t>N</t>
  </si>
  <si>
    <t>kappa κ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</si>
  <si>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</si>
  <si>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r>
      <t>k</t>
    </r>
    <r>
      <rPr>
        <vertAlign val="subscript"/>
        <sz val="11"/>
        <color theme="1"/>
        <rFont val="Times New Roman"/>
        <family val="1"/>
      </rPr>
      <t>a</t>
    </r>
  </si>
  <si>
    <r>
      <t>Flugmachzahl Ma</t>
    </r>
    <r>
      <rPr>
        <vertAlign val="subscript"/>
        <sz val="11"/>
        <color theme="1"/>
        <rFont val="Times New Roman"/>
        <family val="1"/>
      </rPr>
      <t>0</t>
    </r>
  </si>
  <si>
    <r>
      <t>Masse Erde m</t>
    </r>
    <r>
      <rPr>
        <vertAlign val="subscript"/>
        <sz val="11"/>
        <color theme="1"/>
        <rFont val="Times New Roman"/>
        <family val="1"/>
      </rPr>
      <t>E</t>
    </r>
  </si>
  <si>
    <r>
      <t>Machzahl Triebwerkseintritt Ma</t>
    </r>
    <r>
      <rPr>
        <vertAlign val="subscript"/>
        <sz val="11"/>
        <color theme="1"/>
        <rFont val="Times New Roman"/>
        <family val="1"/>
      </rPr>
      <t>1</t>
    </r>
  </si>
  <si>
    <t>Nebenstromverhältniss µ</t>
  </si>
  <si>
    <r>
      <t>Turbineneintrittstemperatur T</t>
    </r>
    <r>
      <rPr>
        <vertAlign val="subscript"/>
        <sz val="11"/>
        <color theme="1"/>
        <rFont val="Times New Roman"/>
        <family val="1"/>
      </rPr>
      <t>4</t>
    </r>
  </si>
  <si>
    <r>
      <t>Verdichterdruckverhältnis π</t>
    </r>
    <r>
      <rPr>
        <vertAlign val="subscript"/>
        <sz val="11"/>
        <color theme="1"/>
        <rFont val="Times New Roman"/>
        <family val="1"/>
      </rPr>
      <t>V</t>
    </r>
  </si>
  <si>
    <r>
      <t>Fandruckverhältnis π</t>
    </r>
    <r>
      <rPr>
        <vertAlign val="subscript"/>
        <sz val="11"/>
        <color theme="1"/>
        <rFont val="Times New Roman"/>
        <family val="1"/>
      </rPr>
      <t>Fan</t>
    </r>
  </si>
  <si>
    <t>Dichte ρ</t>
  </si>
  <si>
    <r>
      <t>m/s</t>
    </r>
    <r>
      <rPr>
        <vertAlign val="superscript"/>
        <sz val="11"/>
        <color theme="1"/>
        <rFont val="Times New Roman"/>
        <family val="1"/>
      </rPr>
      <t>2</t>
    </r>
  </si>
  <si>
    <r>
      <t>c</t>
    </r>
    <r>
      <rPr>
        <vertAlign val="subscript"/>
        <sz val="11"/>
        <color theme="1"/>
        <rFont val="Times New Roman"/>
        <family val="1"/>
      </rPr>
      <t>D0</t>
    </r>
  </si>
  <si>
    <r>
      <t>m</t>
    </r>
    <r>
      <rPr>
        <vertAlign val="subscript"/>
        <sz val="11"/>
        <color theme="1"/>
        <rFont val="Times New Roman"/>
        <family val="1"/>
      </rPr>
      <t>0</t>
    </r>
  </si>
  <si>
    <r>
      <t>Ma</t>
    </r>
    <r>
      <rPr>
        <vertAlign val="subscript"/>
        <sz val="11"/>
        <color theme="1"/>
        <rFont val="Times New Roman"/>
        <family val="1"/>
      </rPr>
      <t>1</t>
    </r>
  </si>
  <si>
    <r>
      <t>Ma</t>
    </r>
    <r>
      <rPr>
        <vertAlign val="subscript"/>
        <sz val="11"/>
        <color theme="1"/>
        <rFont val="Times New Roman"/>
        <family val="1"/>
      </rPr>
      <t>0</t>
    </r>
  </si>
  <si>
    <r>
      <t>a</t>
    </r>
    <r>
      <rPr>
        <vertAlign val="subscript"/>
        <sz val="11"/>
        <color theme="1"/>
        <rFont val="Times New Roman"/>
        <family val="1"/>
      </rPr>
      <t>0</t>
    </r>
  </si>
  <si>
    <r>
      <t>τ</t>
    </r>
    <r>
      <rPr>
        <vertAlign val="subscript"/>
        <sz val="11"/>
        <color theme="1"/>
        <rFont val="Times New Roman"/>
        <family val="1"/>
      </rPr>
      <t>λ</t>
    </r>
  </si>
  <si>
    <r>
      <t>τ</t>
    </r>
    <r>
      <rPr>
        <vertAlign val="subscript"/>
        <sz val="11"/>
        <color theme="1"/>
        <rFont val="Times New Roman"/>
        <family val="1"/>
      </rPr>
      <t>0</t>
    </r>
  </si>
  <si>
    <r>
      <t>τ</t>
    </r>
    <r>
      <rPr>
        <vertAlign val="subscript"/>
        <sz val="11"/>
        <color theme="1"/>
        <rFont val="Times New Roman"/>
        <family val="1"/>
      </rPr>
      <t>V</t>
    </r>
  </si>
  <si>
    <r>
      <t>τ</t>
    </r>
    <r>
      <rPr>
        <vertAlign val="subscript"/>
        <sz val="11"/>
        <color theme="1"/>
        <rFont val="Times New Roman"/>
        <family val="1"/>
      </rPr>
      <t>Fan</t>
    </r>
  </si>
  <si>
    <r>
      <t>T</t>
    </r>
    <r>
      <rPr>
        <vertAlign val="subscript"/>
        <sz val="11"/>
        <color theme="1"/>
        <rFont val="Times New Roman"/>
        <family val="1"/>
      </rPr>
      <t>4</t>
    </r>
  </si>
  <si>
    <r>
      <t>ρ</t>
    </r>
    <r>
      <rPr>
        <vertAlign val="subscript"/>
        <sz val="11"/>
        <color theme="1"/>
        <rFont val="Times New Roman"/>
        <family val="1"/>
      </rPr>
      <t>0</t>
    </r>
  </si>
  <si>
    <r>
      <t>k</t>
    </r>
    <r>
      <rPr>
        <vertAlign val="subscript"/>
        <sz val="11"/>
        <color theme="1"/>
        <rFont val="Times New Roman"/>
        <family val="1"/>
      </rPr>
      <t>1</t>
    </r>
  </si>
  <si>
    <r>
      <t>k</t>
    </r>
    <r>
      <rPr>
        <vertAlign val="subscript"/>
        <sz val="11"/>
        <color theme="1"/>
        <rFont val="Times New Roman"/>
        <family val="1"/>
      </rPr>
      <t>2</t>
    </r>
  </si>
  <si>
    <r>
      <t>k</t>
    </r>
    <r>
      <rPr>
        <vertAlign val="subscript"/>
        <sz val="11"/>
        <color theme="1"/>
        <rFont val="Times New Roman"/>
        <family val="1"/>
      </rPr>
      <t>3</t>
    </r>
  </si>
  <si>
    <r>
      <t>k</t>
    </r>
    <r>
      <rPr>
        <vertAlign val="subscript"/>
        <sz val="11"/>
        <color theme="1"/>
        <rFont val="Times New Roman"/>
        <family val="1"/>
      </rPr>
      <t>4</t>
    </r>
  </si>
  <si>
    <t>Howe</t>
  </si>
  <si>
    <t>ROC einheitenlos</t>
  </si>
  <si>
    <t>prozentuale Abweichung ROC</t>
  </si>
  <si>
    <t>prozentuale Abweichung Zeit t</t>
  </si>
  <si>
    <t xml:space="preserve">Scholz </t>
  </si>
  <si>
    <t>1/ROC</t>
  </si>
  <si>
    <t>1/ROC linear</t>
  </si>
  <si>
    <t>1/ROC gerade</t>
  </si>
  <si>
    <t>Λ</t>
  </si>
  <si>
    <t>Streckung Λ</t>
  </si>
  <si>
    <t>darus Streckung Λ</t>
  </si>
  <si>
    <t>Q h&lt;11km</t>
  </si>
  <si>
    <t>Q h&gt;11km</t>
  </si>
  <si>
    <t>Q für h&lt;11km</t>
  </si>
  <si>
    <t>s</t>
  </si>
  <si>
    <t>-</t>
  </si>
  <si>
    <t>Pa</t>
  </si>
  <si>
    <r>
      <t>Masse Flugzeug m</t>
    </r>
    <r>
      <rPr>
        <vertAlign val="subscript"/>
        <sz val="11"/>
        <color theme="1"/>
        <rFont val="Times New Roman"/>
        <family val="1"/>
      </rPr>
      <t>F</t>
    </r>
  </si>
  <si>
    <r>
      <t>Querschnittsfläche Turbineneintritt A</t>
    </r>
    <r>
      <rPr>
        <vertAlign val="subscript"/>
        <sz val="11"/>
        <color theme="1"/>
        <rFont val="Times New Roman"/>
        <family val="1"/>
      </rPr>
      <t>FL1</t>
    </r>
  </si>
  <si>
    <r>
      <t>Umgebungstemperatur T</t>
    </r>
    <r>
      <rPr>
        <vertAlign val="subscript"/>
        <sz val="11"/>
        <color theme="1"/>
        <rFont val="Times New Roman"/>
        <family val="1"/>
      </rPr>
      <t>0</t>
    </r>
  </si>
  <si>
    <r>
      <t>A</t>
    </r>
    <r>
      <rPr>
        <vertAlign val="subscript"/>
        <sz val="11"/>
        <color theme="1"/>
        <rFont val="Times New Roman"/>
        <family val="1"/>
      </rPr>
      <t>FL1</t>
    </r>
  </si>
  <si>
    <r>
      <t>V</t>
    </r>
    <r>
      <rPr>
        <vertAlign val="subscript"/>
        <sz val="11"/>
        <color theme="1"/>
        <rFont val="Times New Roman"/>
        <family val="1"/>
      </rPr>
      <t>T</t>
    </r>
  </si>
  <si>
    <r>
      <t>Standschub T</t>
    </r>
    <r>
      <rPr>
        <vertAlign val="subscript"/>
        <sz val="11"/>
        <color theme="1"/>
        <rFont val="Times New Roman"/>
        <family val="1"/>
      </rPr>
      <t>N</t>
    </r>
  </si>
  <si>
    <r>
      <rPr>
        <sz val="11"/>
        <rFont val="Times New Roman"/>
        <family val="1"/>
      </rPr>
      <t>T</t>
    </r>
    <r>
      <rPr>
        <vertAlign val="subscript"/>
        <sz val="11"/>
        <rFont val="Times New Roman"/>
        <family val="1"/>
      </rPr>
      <t>N</t>
    </r>
  </si>
  <si>
    <r>
      <t>Nullwiderstandsbeiwert c</t>
    </r>
    <r>
      <rPr>
        <vertAlign val="subscript"/>
        <sz val="11"/>
        <color theme="1"/>
        <rFont val="Times New Roman"/>
        <family val="1"/>
      </rPr>
      <t>D0</t>
    </r>
  </si>
  <si>
    <r>
      <t>kg/m</t>
    </r>
    <r>
      <rPr>
        <vertAlign val="superscript"/>
        <sz val="11"/>
        <color theme="1"/>
        <rFont val="Times New Roman"/>
        <family val="1"/>
      </rPr>
      <t>3</t>
    </r>
  </si>
  <si>
    <r>
      <t>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/kgs</t>
    </r>
    <r>
      <rPr>
        <vertAlign val="superscript"/>
        <sz val="11"/>
        <color theme="1"/>
        <rFont val="Times New Roman"/>
        <family val="1"/>
      </rPr>
      <t>2</t>
    </r>
  </si>
  <si>
    <t>1/m</t>
  </si>
  <si>
    <t>kg/m</t>
  </si>
  <si>
    <t xml:space="preserve">Berechnungstabellen - Die Genauigkeit einer vereinfachten Berechnung
der Steigzeit von Flugzeugen
</t>
  </si>
  <si>
    <t>Berechnungstabellen - Die Genauigkeit einer vereinfachten Berechnung
der Steigzeit von Flugzeugen</t>
  </si>
  <si>
    <t>Berechnung nach Scholz</t>
  </si>
  <si>
    <t>Berechnung nach Howe</t>
  </si>
  <si>
    <t>Berechnung nach Bräunling</t>
  </si>
  <si>
    <t>Publication:</t>
  </si>
  <si>
    <t>Dataset:</t>
  </si>
  <si>
    <t>http://www.gnu.org/licenses/gpl.html</t>
  </si>
  <si>
    <t>See the GNU General Public License for more details.</t>
  </si>
  <si>
    <t>MERCHANTABILITY or FITNESS FOR A PARTICULAR PURPOSE.</t>
  </si>
  <si>
    <t>but WITHOUT ANY WARRANTY; without even the implied warranty of</t>
  </si>
  <si>
    <t>The software is distributed in the hope that it will be useful,</t>
  </si>
  <si>
    <t>the Free Software Foundation, License Version 3.</t>
  </si>
  <si>
    <t>it under the terms of the GNU General Public License as published by</t>
  </si>
  <si>
    <t>This is free software: you can redistribute it and/or modify</t>
  </si>
  <si>
    <t>Copyright © 2018</t>
  </si>
  <si>
    <t>Marcel Mutschall</t>
  </si>
  <si>
    <t>http://nbn-resolving.de/urn:nbn:de:gbv:18302-aero2018-02-28.018</t>
  </si>
  <si>
    <t>https://doi.org/10.7910/DVN/MX3K1B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</si>
</sst>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name val="Times New Roman"/>
      <family val="1"/>
    </font>
    <font>
      <sz val="1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2" fontId="0" fillId="0" borderId="0" xfId="0" applyNumberFormat="1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164" fontId="1" fillId="0" borderId="5" xfId="0" applyNumberFormat="1" applyFont="1" applyBorder="1"/>
    <xf numFmtId="0" fontId="1" fillId="0" borderId="2" xfId="0" applyFont="1" applyBorder="1"/>
    <xf numFmtId="2" fontId="1" fillId="0" borderId="0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5" xfId="0" applyFont="1" applyBorder="1"/>
    <xf numFmtId="0" fontId="1" fillId="0" borderId="4" xfId="0" applyFont="1" applyFill="1" applyBorder="1"/>
    <xf numFmtId="2" fontId="1" fillId="0" borderId="0" xfId="0" applyNumberFormat="1" applyFont="1"/>
    <xf numFmtId="0" fontId="1" fillId="0" borderId="14" xfId="0" applyFont="1" applyBorder="1"/>
    <xf numFmtId="165" fontId="1" fillId="0" borderId="0" xfId="0" applyNumberFormat="1" applyFont="1"/>
    <xf numFmtId="0" fontId="0" fillId="0" borderId="0" xfId="0" applyBorder="1"/>
    <xf numFmtId="0" fontId="0" fillId="0" borderId="5" xfId="0" applyBorder="1"/>
    <xf numFmtId="1" fontId="1" fillId="0" borderId="5" xfId="0" applyNumberFormat="1" applyFont="1" applyBorder="1"/>
    <xf numFmtId="2" fontId="1" fillId="0" borderId="5" xfId="0" applyNumberFormat="1" applyFont="1" applyBorder="1"/>
    <xf numFmtId="2" fontId="0" fillId="0" borderId="5" xfId="0" applyNumberFormat="1" applyBorder="1"/>
    <xf numFmtId="0" fontId="0" fillId="0" borderId="4" xfId="0" applyBorder="1"/>
    <xf numFmtId="0" fontId="0" fillId="0" borderId="6" xfId="0" applyBorder="1"/>
    <xf numFmtId="0" fontId="0" fillId="0" borderId="1" xfId="0" applyBorder="1"/>
    <xf numFmtId="164" fontId="1" fillId="0" borderId="1" xfId="0" applyNumberFormat="1" applyFont="1" applyBorder="1"/>
    <xf numFmtId="0" fontId="1" fillId="2" borderId="0" xfId="0" applyFont="1" applyFill="1" applyBorder="1"/>
    <xf numFmtId="0" fontId="1" fillId="2" borderId="4" xfId="0" applyFont="1" applyFill="1" applyBorder="1"/>
    <xf numFmtId="164" fontId="1" fillId="2" borderId="0" xfId="0" applyNumberFormat="1" applyFont="1" applyFill="1" applyBorder="1"/>
    <xf numFmtId="1" fontId="1" fillId="2" borderId="0" xfId="0" applyNumberFormat="1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1" fontId="1" fillId="2" borderId="5" xfId="0" applyNumberFormat="1" applyFont="1" applyFill="1" applyBorder="1"/>
    <xf numFmtId="16" fontId="1" fillId="0" borderId="0" xfId="0" applyNumberFormat="1" applyFont="1" applyBorder="1"/>
    <xf numFmtId="0" fontId="1" fillId="3" borderId="0" xfId="0" applyFont="1" applyFill="1"/>
    <xf numFmtId="0" fontId="1" fillId="3" borderId="4" xfId="0" applyFont="1" applyFill="1" applyBorder="1"/>
    <xf numFmtId="164" fontId="1" fillId="3" borderId="0" xfId="0" applyNumberFormat="1" applyFont="1" applyFill="1"/>
    <xf numFmtId="0" fontId="1" fillId="3" borderId="0" xfId="0" applyFont="1" applyFill="1" applyBorder="1"/>
    <xf numFmtId="164" fontId="1" fillId="3" borderId="0" xfId="0" applyNumberFormat="1" applyFont="1" applyFill="1" applyBorder="1"/>
    <xf numFmtId="2" fontId="1" fillId="3" borderId="0" xfId="0" applyNumberFormat="1" applyFont="1" applyFill="1" applyBorder="1"/>
    <xf numFmtId="2" fontId="1" fillId="3" borderId="0" xfId="0" applyNumberFormat="1" applyFont="1" applyFill="1"/>
    <xf numFmtId="0" fontId="5" fillId="0" borderId="0" xfId="0" applyFont="1" applyBorder="1"/>
    <xf numFmtId="1" fontId="1" fillId="2" borderId="1" xfId="0" applyNumberFormat="1" applyFont="1" applyFill="1" applyBorder="1"/>
    <xf numFmtId="0" fontId="1" fillId="0" borderId="4" xfId="0" applyFont="1" applyBorder="1" applyAlignment="1">
      <alignment wrapText="1"/>
    </xf>
    <xf numFmtId="0" fontId="5" fillId="2" borderId="2" xfId="0" applyFont="1" applyFill="1" applyBorder="1"/>
    <xf numFmtId="0" fontId="5" fillId="2" borderId="4" xfId="0" applyFont="1" applyFill="1" applyBorder="1"/>
    <xf numFmtId="0" fontId="6" fillId="0" borderId="0" xfId="0" applyFont="1" applyAlignment="1"/>
    <xf numFmtId="0" fontId="6" fillId="0" borderId="0" xfId="0" applyFont="1"/>
    <xf numFmtId="0" fontId="7" fillId="0" borderId="0" xfId="1"/>
    <xf numFmtId="0" fontId="8" fillId="0" borderId="0" xfId="1" applyFont="1"/>
    <xf numFmtId="0" fontId="11" fillId="0" borderId="0" xfId="1" applyFont="1"/>
    <xf numFmtId="0" fontId="10" fillId="0" borderId="0" xfId="2" applyFont="1" applyFill="1" applyAlignment="1" applyProtection="1"/>
    <xf numFmtId="0" fontId="8" fillId="0" borderId="0" xfId="1" applyFont="1" applyFill="1"/>
    <xf numFmtId="0" fontId="12" fillId="0" borderId="0" xfId="1" applyFont="1" applyFill="1"/>
    <xf numFmtId="0" fontId="9" fillId="0" borderId="0" xfId="2" applyAlignment="1" applyProtection="1"/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Bräunling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Gesamt!$F$4:$Q$4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Bräunling!$F$62:$Q$62</c:f>
              <c:numCache>
                <c:formatCode>0.000</c:formatCode>
                <c:ptCount val="12"/>
                <c:pt idx="0">
                  <c:v>49.988886072483687</c:v>
                </c:pt>
                <c:pt idx="1">
                  <c:v>45.526141122053602</c:v>
                </c:pt>
                <c:pt idx="2">
                  <c:v>41.203870172598343</c:v>
                </c:pt>
                <c:pt idx="3">
                  <c:v>37.040557026780171</c:v>
                </c:pt>
                <c:pt idx="4">
                  <c:v>33.047954525904451</c:v>
                </c:pt>
                <c:pt idx="5">
                  <c:v>29.232041095772274</c:v>
                </c:pt>
                <c:pt idx="6">
                  <c:v>25.593783623601343</c:v>
                </c:pt>
                <c:pt idx="7">
                  <c:v>22.129754418786334</c:v>
                </c:pt>
                <c:pt idx="8">
                  <c:v>18.832638616313133</c:v>
                </c:pt>
                <c:pt idx="9">
                  <c:v>15.691660605830783</c:v>
                </c:pt>
                <c:pt idx="10">
                  <c:v>12.692951609650965</c:v>
                </c:pt>
                <c:pt idx="11">
                  <c:v>9.8198734248731689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FA-4A16-8774-33FA7FB0CF47}"/>
            </c:ext>
          </c:extLst>
        </c:ser>
        <c:ser>
          <c:idx val="1"/>
          <c:order val="1"/>
          <c:tx>
            <c:v>Scholz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Gesamt!$F$4:$Q$4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Scholz!$F$57:$Q$57</c:f>
              <c:numCache>
                <c:formatCode>0.000</c:formatCode>
                <c:ptCount val="12"/>
                <c:pt idx="0">
                  <c:v>31.449189042074121</c:v>
                </c:pt>
                <c:pt idx="1">
                  <c:v>29.303865074318463</c:v>
                </c:pt>
                <c:pt idx="2">
                  <c:v>27.210054169996809</c:v>
                </c:pt>
                <c:pt idx="3">
                  <c:v>25.164030330290753</c:v>
                </c:pt>
                <c:pt idx="4">
                  <c:v>23.16166039128807</c:v>
                </c:pt>
                <c:pt idx="5">
                  <c:v>21.198342462874571</c:v>
                </c:pt>
                <c:pt idx="6">
                  <c:v>19.268935067539562</c:v>
                </c:pt>
                <c:pt idx="7">
                  <c:v>17.367675594152701</c:v>
                </c:pt>
                <c:pt idx="8">
                  <c:v>15.488086362931805</c:v>
                </c:pt>
                <c:pt idx="9">
                  <c:v>13.62286611256706</c:v>
                </c:pt>
                <c:pt idx="10">
                  <c:v>11.763763980170543</c:v>
                </c:pt>
                <c:pt idx="11">
                  <c:v>9.9014319334530807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F1-4731-BE4B-B5864F70BDEA}"/>
            </c:ext>
          </c:extLst>
        </c:ser>
        <c:ser>
          <c:idx val="2"/>
          <c:order val="2"/>
          <c:tx>
            <c:v>Howe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Gesamt!$F$4:$Q$4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Howe!$F$61:$Q$61</c:f>
              <c:numCache>
                <c:formatCode>0.000</c:formatCode>
                <c:ptCount val="12"/>
                <c:pt idx="0">
                  <c:v>48.855575565981859</c:v>
                </c:pt>
                <c:pt idx="1">
                  <c:v>46.070923930136139</c:v>
                </c:pt>
                <c:pt idx="2">
                  <c:v>43.347499437104538</c:v>
                </c:pt>
                <c:pt idx="3">
                  <c:v>40.682390536344805</c:v>
                </c:pt>
                <c:pt idx="4">
                  <c:v>38.072310344359096</c:v>
                </c:pt>
                <c:pt idx="5">
                  <c:v>35.513533443430461</c:v>
                </c:pt>
                <c:pt idx="6">
                  <c:v>33.001821237787205</c:v>
                </c:pt>
                <c:pt idx="7">
                  <c:v>30.532333787366156</c:v>
                </c:pt>
                <c:pt idx="8">
                  <c:v>28.099525666780583</c:v>
                </c:pt>
                <c:pt idx="9">
                  <c:v>25.697022939046487</c:v>
                </c:pt>
                <c:pt idx="10">
                  <c:v>23.317477747734397</c:v>
                </c:pt>
                <c:pt idx="11">
                  <c:v>20.952396246502392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F1-4731-BE4B-B5864F70BDEA}"/>
            </c:ext>
          </c:extLst>
        </c:ser>
        <c:marker val="1"/>
        <c:axId val="114340224"/>
        <c:axId val="114342144"/>
      </c:lineChart>
      <c:catAx>
        <c:axId val="114340224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42144"/>
        <c:crosses val="autoZero"/>
        <c:auto val="1"/>
        <c:lblAlgn val="ctr"/>
        <c:lblOffset val="100"/>
      </c:catAx>
      <c:valAx>
        <c:axId val="114342144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ROC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.0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4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Scholz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Scholz!$F$56:$Q$56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Scholz!$F$57:$Q$57</c:f>
              <c:numCache>
                <c:formatCode>0.000</c:formatCode>
                <c:ptCount val="12"/>
                <c:pt idx="0">
                  <c:v>31.449189042074121</c:v>
                </c:pt>
                <c:pt idx="1">
                  <c:v>29.303865074318463</c:v>
                </c:pt>
                <c:pt idx="2">
                  <c:v>27.210054169996809</c:v>
                </c:pt>
                <c:pt idx="3">
                  <c:v>25.164030330290753</c:v>
                </c:pt>
                <c:pt idx="4">
                  <c:v>23.16166039128807</c:v>
                </c:pt>
                <c:pt idx="5">
                  <c:v>21.198342462874571</c:v>
                </c:pt>
                <c:pt idx="6">
                  <c:v>19.268935067539562</c:v>
                </c:pt>
                <c:pt idx="7">
                  <c:v>17.367675594152701</c:v>
                </c:pt>
                <c:pt idx="8">
                  <c:v>15.488086362931805</c:v>
                </c:pt>
                <c:pt idx="9">
                  <c:v>13.62286611256706</c:v>
                </c:pt>
                <c:pt idx="10">
                  <c:v>11.763763980170543</c:v>
                </c:pt>
                <c:pt idx="11">
                  <c:v>9.9014319334530807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7-4DA9-9CB9-0AC4D4A0DB00}"/>
            </c:ext>
          </c:extLst>
        </c:ser>
        <c:marker val="1"/>
        <c:axId val="196955520"/>
        <c:axId val="214316544"/>
      </c:lineChart>
      <c:catAx>
        <c:axId val="196955520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16544"/>
        <c:crosses val="autoZero"/>
        <c:auto val="1"/>
        <c:lblAlgn val="ctr"/>
        <c:lblOffset val="100"/>
      </c:catAx>
      <c:valAx>
        <c:axId val="214316544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ROC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.0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5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Howe!$F$60:$Q$60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Howe!$F$61:$Q$61</c:f>
              <c:numCache>
                <c:formatCode>0.000</c:formatCode>
                <c:ptCount val="12"/>
                <c:pt idx="0">
                  <c:v>48.855575565981859</c:v>
                </c:pt>
                <c:pt idx="1">
                  <c:v>46.070923930136139</c:v>
                </c:pt>
                <c:pt idx="2">
                  <c:v>43.347499437104538</c:v>
                </c:pt>
                <c:pt idx="3">
                  <c:v>40.682390536344805</c:v>
                </c:pt>
                <c:pt idx="4">
                  <c:v>38.072310344359096</c:v>
                </c:pt>
                <c:pt idx="5">
                  <c:v>35.513533443430461</c:v>
                </c:pt>
                <c:pt idx="6">
                  <c:v>33.001821237787205</c:v>
                </c:pt>
                <c:pt idx="7">
                  <c:v>30.532333787366156</c:v>
                </c:pt>
                <c:pt idx="8">
                  <c:v>28.099525666780583</c:v>
                </c:pt>
                <c:pt idx="9">
                  <c:v>25.697022939046487</c:v>
                </c:pt>
                <c:pt idx="10">
                  <c:v>23.317477747734397</c:v>
                </c:pt>
                <c:pt idx="11">
                  <c:v>20.952396246502392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1-4FFA-B138-0ED47B8F0772}"/>
            </c:ext>
          </c:extLst>
        </c:ser>
        <c:marker val="1"/>
        <c:axId val="214345984"/>
        <c:axId val="214401408"/>
      </c:lineChart>
      <c:catAx>
        <c:axId val="214345984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01408"/>
        <c:crosses val="autoZero"/>
        <c:auto val="1"/>
        <c:lblAlgn val="ctr"/>
        <c:lblOffset val="100"/>
      </c:catAx>
      <c:valAx>
        <c:axId val="214401408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ROC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.0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45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Howe!$F$60:$Q$60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Howe!$F$46:$Q$46</c:f>
              <c:numCache>
                <c:formatCode>0</c:formatCode>
                <c:ptCount val="12"/>
                <c:pt idx="0">
                  <c:v>241920</c:v>
                </c:pt>
                <c:pt idx="1">
                  <c:v>226022.51480378181</c:v>
                </c:pt>
                <c:pt idx="2">
                  <c:v>210834.81844347925</c:v>
                </c:pt>
                <c:pt idx="3">
                  <c:v>196340.86815487727</c:v>
                </c:pt>
                <c:pt idx="4">
                  <c:v>182524.61325545775</c:v>
                </c:pt>
                <c:pt idx="5">
                  <c:v>169369.99494868683</c:v>
                </c:pt>
                <c:pt idx="6">
                  <c:v>156860.94611848658</c:v>
                </c:pt>
                <c:pt idx="7">
                  <c:v>144981.39111313675</c:v>
                </c:pt>
                <c:pt idx="8">
                  <c:v>133715.2455177723</c:v>
                </c:pt>
                <c:pt idx="9">
                  <c:v>123046.41591455293</c:v>
                </c:pt>
                <c:pt idx="10">
                  <c:v>112958.79962947856</c:v>
                </c:pt>
                <c:pt idx="11">
                  <c:v>103436.28446470638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3A-4AFE-AF9C-66431CFE62FB}"/>
            </c:ext>
          </c:extLst>
        </c:ser>
        <c:marker val="1"/>
        <c:axId val="214420096"/>
        <c:axId val="214637184"/>
      </c:lineChart>
      <c:catAx>
        <c:axId val="214420096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37184"/>
        <c:crosses val="autoZero"/>
        <c:auto val="1"/>
        <c:lblAlgn val="ctr"/>
        <c:lblOffset val="100"/>
      </c:catAx>
      <c:valAx>
        <c:axId val="214637184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T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2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ROC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Howe!$F$60:$Q$60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Howe!$F$64:$Q$64</c:f>
              <c:numCache>
                <c:formatCode>0.000</c:formatCode>
                <c:ptCount val="12"/>
                <c:pt idx="0" formatCode="General">
                  <c:v>1</c:v>
                </c:pt>
                <c:pt idx="1">
                  <c:v>0.94300237785378438</c:v>
                </c:pt>
                <c:pt idx="2">
                  <c:v>0.88725798304354453</c:v>
                </c:pt>
                <c:pt idx="3">
                  <c:v>0.83270722051777357</c:v>
                </c:pt>
                <c:pt idx="4">
                  <c:v>0.7792828127250403</c:v>
                </c:pt>
                <c:pt idx="5">
                  <c:v>0.72690850597937762</c:v>
                </c:pt>
                <c:pt idx="6">
                  <c:v>0.67549754261346528</c:v>
                </c:pt>
                <c:pt idx="7">
                  <c:v>0.62495085634864211</c:v>
                </c:pt>
                <c:pt idx="8">
                  <c:v>0.57515494068493356</c:v>
                </c:pt>
                <c:pt idx="9">
                  <c:v>0.52597933073864611</c:v>
                </c:pt>
                <c:pt idx="10">
                  <c:v>0.47727362696286313</c:v>
                </c:pt>
                <c:pt idx="11">
                  <c:v>0.42886397312431923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DE-4FAC-8DDD-CC6257E6256B}"/>
            </c:ext>
          </c:extLst>
        </c:ser>
        <c:ser>
          <c:idx val="1"/>
          <c:order val="1"/>
          <c:tx>
            <c:v>ROC linear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Howe!$F$60:$Q$60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Howe!$F$65:$Q$65</c:f>
              <c:numCache>
                <c:formatCode>0.000</c:formatCode>
                <c:ptCount val="12"/>
                <c:pt idx="0" formatCode="General">
                  <c:v>1</c:v>
                </c:pt>
                <c:pt idx="1">
                  <c:v>0.94807854301130179</c:v>
                </c:pt>
                <c:pt idx="2">
                  <c:v>0.89615708602260347</c:v>
                </c:pt>
                <c:pt idx="3">
                  <c:v>0.84423562903390525</c:v>
                </c:pt>
                <c:pt idx="4">
                  <c:v>0.79231417204520693</c:v>
                </c:pt>
                <c:pt idx="5">
                  <c:v>0.74039271505650872</c:v>
                </c:pt>
                <c:pt idx="6">
                  <c:v>0.68847125806781051</c:v>
                </c:pt>
                <c:pt idx="7">
                  <c:v>0.63654980107911219</c:v>
                </c:pt>
                <c:pt idx="8">
                  <c:v>0.58462834409041398</c:v>
                </c:pt>
                <c:pt idx="9">
                  <c:v>0.53270688710171576</c:v>
                </c:pt>
                <c:pt idx="10">
                  <c:v>0.48078543011301744</c:v>
                </c:pt>
                <c:pt idx="11">
                  <c:v>0.42886397312431923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DE-4FAC-8DDD-CC6257E6256B}"/>
            </c:ext>
          </c:extLst>
        </c:ser>
        <c:marker val="1"/>
        <c:axId val="214454656"/>
        <c:axId val="214456576"/>
      </c:lineChart>
      <c:catAx>
        <c:axId val="214454656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56576"/>
        <c:crosses val="autoZero"/>
        <c:auto val="1"/>
        <c:lblAlgn val="ctr"/>
        <c:lblOffset val="100"/>
      </c:catAx>
      <c:valAx>
        <c:axId val="214456576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ROC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54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Bräunling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Gesamt!$F$4:$Q$4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Bräunling!$F$46:$Q$46</c:f>
              <c:numCache>
                <c:formatCode>0</c:formatCode>
                <c:ptCount val="12"/>
                <c:pt idx="0">
                  <c:v>245466.09590388165</c:v>
                </c:pt>
                <c:pt idx="1">
                  <c:v>224337.07280394292</c:v>
                </c:pt>
                <c:pt idx="2">
                  <c:v>204279.1875288033</c:v>
                </c:pt>
                <c:pt idx="3">
                  <c:v>185335.91516841698</c:v>
                </c:pt>
                <c:pt idx="4">
                  <c:v>167530.59099670497</c:v>
                </c:pt>
                <c:pt idx="5">
                  <c:v>150870.22172460365</c:v>
                </c:pt>
                <c:pt idx="6">
                  <c:v>135348.54233053463</c:v>
                </c:pt>
                <c:pt idx="7">
                  <c:v>120948.50419795144</c:v>
                </c:pt>
                <c:pt idx="8">
                  <c:v>107644.32621721289</c:v>
                </c:pt>
                <c:pt idx="9">
                  <c:v>95403.204142991613</c:v>
                </c:pt>
                <c:pt idx="10">
                  <c:v>84186.74847618182</c:v>
                </c:pt>
                <c:pt idx="11">
                  <c:v>73952.20356609876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49-48CC-A714-82560F98F2BD}"/>
            </c:ext>
          </c:extLst>
        </c:ser>
        <c:ser>
          <c:idx val="1"/>
          <c:order val="1"/>
          <c:tx>
            <c:v>Scholz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Gesamt!$F$4:$Q$4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Scholz!$F$46:$Q$46</c:f>
              <c:numCache>
                <c:formatCode>0</c:formatCode>
                <c:ptCount val="12"/>
                <c:pt idx="0">
                  <c:v>183815.99999999997</c:v>
                </c:pt>
                <c:pt idx="1">
                  <c:v>170945.12444918143</c:v>
                </c:pt>
                <c:pt idx="2">
                  <c:v>158706.23039686226</c:v>
                </c:pt>
                <c:pt idx="3">
                  <c:v>147082.12037784918</c:v>
                </c:pt>
                <c:pt idx="4">
                  <c:v>136055.67056365879</c:v>
                </c:pt>
                <c:pt idx="5">
                  <c:v>125609.83221795299</c:v>
                </c:pt>
                <c:pt idx="6">
                  <c:v>115727.63321748727</c:v>
                </c:pt>
                <c:pt idx="7">
                  <c:v>106392.17964326037</c:v>
                </c:pt>
                <c:pt idx="8">
                  <c:v>97586.657447018137</c:v>
                </c:pt>
                <c:pt idx="9">
                  <c:v>89294.334198793644</c:v>
                </c:pt>
                <c:pt idx="10">
                  <c:v>81498.560921759927</c:v>
                </c:pt>
                <c:pt idx="11">
                  <c:v>74182.774021348916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19-4303-9A4F-90DD5F9EF3D7}"/>
            </c:ext>
          </c:extLst>
        </c:ser>
        <c:ser>
          <c:idx val="2"/>
          <c:order val="2"/>
          <c:tx>
            <c:v>Howe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Gesamt!$F$4:$Q$4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Howe!$F$46:$Q$46</c:f>
              <c:numCache>
                <c:formatCode>0</c:formatCode>
                <c:ptCount val="12"/>
                <c:pt idx="0">
                  <c:v>241920</c:v>
                </c:pt>
                <c:pt idx="1">
                  <c:v>226022.51480378181</c:v>
                </c:pt>
                <c:pt idx="2">
                  <c:v>210834.81844347925</c:v>
                </c:pt>
                <c:pt idx="3">
                  <c:v>196340.86815487727</c:v>
                </c:pt>
                <c:pt idx="4">
                  <c:v>182524.61325545775</c:v>
                </c:pt>
                <c:pt idx="5">
                  <c:v>169369.99494868683</c:v>
                </c:pt>
                <c:pt idx="6">
                  <c:v>156860.94611848658</c:v>
                </c:pt>
                <c:pt idx="7">
                  <c:v>144981.39111313675</c:v>
                </c:pt>
                <c:pt idx="8">
                  <c:v>133715.2455177723</c:v>
                </c:pt>
                <c:pt idx="9">
                  <c:v>123046.41591455293</c:v>
                </c:pt>
                <c:pt idx="10">
                  <c:v>112958.79962947856</c:v>
                </c:pt>
                <c:pt idx="11">
                  <c:v>103436.28446470638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19-4303-9A4F-90DD5F9EF3D7}"/>
            </c:ext>
          </c:extLst>
        </c:ser>
        <c:marker val="1"/>
        <c:axId val="114578176"/>
        <c:axId val="114580096"/>
      </c:lineChart>
      <c:catAx>
        <c:axId val="114578176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80096"/>
        <c:crosses val="autoZero"/>
        <c:auto val="1"/>
        <c:lblAlgn val="ctr"/>
        <c:lblOffset val="100"/>
      </c:catAx>
      <c:valAx>
        <c:axId val="114580096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T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238881842299329E-2"/>
              <c:y val="0.33452901720618278"/>
            </c:manualLayout>
          </c:layout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78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Bräunling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Bräunling!$G$61:$Q$61</c:f>
              <c:numCache>
                <c:formatCode>General</c:formatCode>
                <c:ptCount val="1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Bräunling!$F$61:$Q$61</c15:sqref>
                  </c15:fullRef>
                </c:ext>
              </c:extLst>
            </c:numRef>
          </c:cat>
          <c:val>
            <c:numRef>
              <c:f>Bräunling!$G$77:$Q$77</c:f>
              <c:numCache>
                <c:formatCode>0.000</c:formatCode>
                <c:ptCount val="11"/>
                <c:pt idx="0">
                  <c:v>20.984924375738338</c:v>
                </c:pt>
                <c:pt idx="1">
                  <c:v>23.117483530453889</c:v>
                </c:pt>
                <c:pt idx="2">
                  <c:v>25.633499520072647</c:v>
                </c:pt>
                <c:pt idx="3">
                  <c:v>28.62824649748157</c:v>
                </c:pt>
                <c:pt idx="4">
                  <c:v>32.234048332059558</c:v>
                </c:pt>
                <c:pt idx="5">
                  <c:v>36.640512790995331</c:v>
                </c:pt>
                <c:pt idx="6">
                  <c:v>42.130008722336441</c:v>
                </c:pt>
                <c:pt idx="7">
                  <c:v>49.143666771677772</c:v>
                </c:pt>
                <c:pt idx="8">
                  <c:v>58.413710961377319</c:v>
                </c:pt>
                <c:pt idx="9">
                  <c:v>71.255999968549816</c:v>
                </c:pt>
                <c:pt idx="10">
                  <c:v>90.309094170149535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Bräunling!$F$77:$Q$77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8B-44D7-9089-E763C92170C2}"/>
            </c:ext>
          </c:extLst>
        </c:ser>
        <c:ser>
          <c:idx val="1"/>
          <c:order val="1"/>
          <c:tx>
            <c:v>Scholz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1000</c:v>
              </c:pt>
              <c:pt idx="1">
                <c:v>2000</c:v>
              </c:pt>
              <c:pt idx="2">
                <c:v>3000</c:v>
              </c:pt>
              <c:pt idx="3">
                <c:v>4000</c:v>
              </c:pt>
              <c:pt idx="4">
                <c:v>5000</c:v>
              </c:pt>
              <c:pt idx="5">
                <c:v>6000</c:v>
              </c:pt>
              <c:pt idx="6">
                <c:v>7000</c:v>
              </c:pt>
              <c:pt idx="7">
                <c:v>8000</c:v>
              </c:pt>
              <c:pt idx="8">
                <c:v>9000</c:v>
              </c:pt>
              <c:pt idx="9">
                <c:v>10000</c:v>
              </c:pt>
              <c:pt idx="10">
                <c:v>11000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Scholz!$G$72:$Q$72</c:f>
              <c:numCache>
                <c:formatCode>0.000</c:formatCode>
                <c:ptCount val="11"/>
                <c:pt idx="0">
                  <c:v>32.961256773861251</c:v>
                </c:pt>
                <c:pt idx="1">
                  <c:v>35.438156249189177</c:v>
                </c:pt>
                <c:pt idx="2">
                  <c:v>38.24519173844682</c:v>
                </c:pt>
                <c:pt idx="3">
                  <c:v>41.457029925185054</c:v>
                </c:pt>
                <c:pt idx="4">
                  <c:v>45.174148618598622</c:v>
                </c:pt>
                <c:pt idx="5">
                  <c:v>49.535251800081653</c:v>
                </c:pt>
                <c:pt idx="6">
                  <c:v>54.737616419204528</c:v>
                </c:pt>
                <c:pt idx="7">
                  <c:v>61.071992264431856</c:v>
                </c:pt>
                <c:pt idx="8">
                  <c:v>68.985873805911638</c:v>
                </c:pt>
                <c:pt idx="9">
                  <c:v>79.206398861917307</c:v>
                </c:pt>
                <c:pt idx="10">
                  <c:v>93.001149418059867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Scholz!$F$72:$Q$72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8B-44D7-9089-E763C92170C2}"/>
            </c:ext>
          </c:extLst>
        </c:ser>
        <c:ser>
          <c:idx val="2"/>
          <c:order val="2"/>
          <c:tx>
            <c:v>Howe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1000</c:v>
              </c:pt>
              <c:pt idx="1">
                <c:v>2000</c:v>
              </c:pt>
              <c:pt idx="2">
                <c:v>3000</c:v>
              </c:pt>
              <c:pt idx="3">
                <c:v>4000</c:v>
              </c:pt>
              <c:pt idx="4">
                <c:v>5000</c:v>
              </c:pt>
              <c:pt idx="5">
                <c:v>6000</c:v>
              </c:pt>
              <c:pt idx="6">
                <c:v>7000</c:v>
              </c:pt>
              <c:pt idx="7">
                <c:v>8000</c:v>
              </c:pt>
              <c:pt idx="8">
                <c:v>9000</c:v>
              </c:pt>
              <c:pt idx="9">
                <c:v>10000</c:v>
              </c:pt>
              <c:pt idx="10">
                <c:v>11000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Howe!$G$76:$Q$76</c:f>
              <c:numCache>
                <c:formatCode>0.000</c:formatCode>
                <c:ptCount val="11"/>
                <c:pt idx="0">
                  <c:v>21.0870784879443</c:v>
                </c:pt>
                <c:pt idx="1">
                  <c:v>22.387522786006283</c:v>
                </c:pt>
                <c:pt idx="2">
                  <c:v>23.825020611743341</c:v>
                </c:pt>
                <c:pt idx="3">
                  <c:v>25.423233963802943</c:v>
                </c:pt>
                <c:pt idx="4">
                  <c:v>27.212043823454238</c:v>
                </c:pt>
                <c:pt idx="5">
                  <c:v>29.229818740014423</c:v>
                </c:pt>
                <c:pt idx="6">
                  <c:v>31.526760942906719</c:v>
                </c:pt>
                <c:pt idx="7">
                  <c:v>34.169976612873285</c:v>
                </c:pt>
                <c:pt idx="8">
                  <c:v>37.251401525702107</c:v>
                </c:pt>
                <c:pt idx="9">
                  <c:v>40.900649437521764</c:v>
                </c:pt>
                <c:pt idx="10">
                  <c:v>45.306761526582989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Howe!$F$76:$Q$76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8B-44D7-9089-E763C92170C2}"/>
            </c:ext>
          </c:extLst>
        </c:ser>
        <c:marker val="1"/>
        <c:axId val="196455424"/>
        <c:axId val="196514944"/>
      </c:lineChart>
      <c:catAx>
        <c:axId val="196455424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14944"/>
        <c:crosses val="autoZero"/>
        <c:auto val="1"/>
        <c:lblAlgn val="ctr"/>
        <c:lblOffset val="100"/>
      </c:catAx>
      <c:valAx>
        <c:axId val="196514944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t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55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Bräunling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trendlineType val="linear"/>
            <c:intercept val="1.07"/>
          </c:trendline>
          <c:cat>
            <c:numRef>
              <c:f>Bräunling!$F$61:$Q$61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Bräunling!$F$65:$Q$65</c:f>
              <c:numCache>
                <c:formatCode>0.000</c:formatCode>
                <c:ptCount val="12"/>
                <c:pt idx="0" formatCode="0">
                  <c:v>1</c:v>
                </c:pt>
                <c:pt idx="1">
                  <c:v>0.91072525713097263</c:v>
                </c:pt>
                <c:pt idx="2">
                  <c:v>0.82426061890742863</c:v>
                </c:pt>
                <c:pt idx="3">
                  <c:v>0.74097584357193935</c:v>
                </c:pt>
                <c:pt idx="4">
                  <c:v>0.66110604021031893</c:v>
                </c:pt>
                <c:pt idx="5">
                  <c:v>0.58477080392201441</c:v>
                </c:pt>
                <c:pt idx="6">
                  <c:v>0.51198947675070128</c:v>
                </c:pt>
                <c:pt idx="7">
                  <c:v>0.44269348964284333</c:v>
                </c:pt>
                <c:pt idx="8">
                  <c:v>0.37673651277217662</c:v>
                </c:pt>
                <c:pt idx="9">
                  <c:v>0.31390298601729066</c:v>
                </c:pt>
                <c:pt idx="10">
                  <c:v>0.25391547215607557</c:v>
                </c:pt>
                <c:pt idx="11">
                  <c:v>0.1964411331477639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A8-4BB2-8CEC-95AEFE0EF569}"/>
            </c:ext>
          </c:extLst>
        </c:ser>
        <c:ser>
          <c:idx val="1"/>
          <c:order val="1"/>
          <c:tx>
            <c:v>Scholz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trendlineType val="linear"/>
            <c:intercept val="1.06"/>
          </c:trendline>
          <c:val>
            <c:numRef>
              <c:f>Scholz!$F$60:$Q$60</c:f>
              <c:numCache>
                <c:formatCode>0.000</c:formatCode>
                <c:ptCount val="12"/>
                <c:pt idx="0" formatCode="General">
                  <c:v>1</c:v>
                </c:pt>
                <c:pt idx="1">
                  <c:v>0.93178444236239133</c:v>
                </c:pt>
                <c:pt idx="2">
                  <c:v>0.86520686220538123</c:v>
                </c:pt>
                <c:pt idx="3">
                  <c:v>0.80014878274365664</c:v>
                </c:pt>
                <c:pt idx="4">
                  <c:v>0.73647878043218773</c:v>
                </c:pt>
                <c:pt idx="5">
                  <c:v>0.6740505274878309</c:v>
                </c:pt>
                <c:pt idx="6">
                  <c:v>0.6127005386930876</c:v>
                </c:pt>
                <c:pt idx="7">
                  <c:v>0.55224557844456512</c:v>
                </c:pt>
                <c:pt idx="8">
                  <c:v>0.49247967387048219</c:v>
                </c:pt>
                <c:pt idx="9">
                  <c:v>0.43317066441178453</c:v>
                </c:pt>
                <c:pt idx="10">
                  <c:v>0.37405619472198337</c:v>
                </c:pt>
                <c:pt idx="11">
                  <c:v>0.31483902240552231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A8-4BB2-8CEC-95AEFE0EF569}"/>
            </c:ext>
          </c:extLst>
        </c:ser>
        <c:ser>
          <c:idx val="2"/>
          <c:order val="2"/>
          <c:tx>
            <c:v>Howe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trendline>
            <c:trendlineType val="linear"/>
            <c:intercept val="1.05"/>
          </c:trendline>
          <c:val>
            <c:numRef>
              <c:f>Howe!$F$64:$Q$64</c:f>
              <c:numCache>
                <c:formatCode>0.000</c:formatCode>
                <c:ptCount val="12"/>
                <c:pt idx="0" formatCode="General">
                  <c:v>1</c:v>
                </c:pt>
                <c:pt idx="1">
                  <c:v>0.94300237785378438</c:v>
                </c:pt>
                <c:pt idx="2">
                  <c:v>0.88725798304354453</c:v>
                </c:pt>
                <c:pt idx="3">
                  <c:v>0.83270722051777357</c:v>
                </c:pt>
                <c:pt idx="4">
                  <c:v>0.7792828127250403</c:v>
                </c:pt>
                <c:pt idx="5">
                  <c:v>0.72690850597937762</c:v>
                </c:pt>
                <c:pt idx="6">
                  <c:v>0.67549754261346528</c:v>
                </c:pt>
                <c:pt idx="7">
                  <c:v>0.62495085634864211</c:v>
                </c:pt>
                <c:pt idx="8">
                  <c:v>0.57515494068493356</c:v>
                </c:pt>
                <c:pt idx="9">
                  <c:v>0.52597933073864611</c:v>
                </c:pt>
                <c:pt idx="10">
                  <c:v>0.47727362696286313</c:v>
                </c:pt>
                <c:pt idx="11">
                  <c:v>0.42886397312431923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A8-4BB2-8CEC-95AEFE0EF569}"/>
            </c:ext>
          </c:extLst>
        </c:ser>
        <c:marker val="1"/>
        <c:axId val="196544768"/>
        <c:axId val="196612480"/>
      </c:lineChart>
      <c:catAx>
        <c:axId val="196544768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12480"/>
        <c:crosses val="autoZero"/>
        <c:auto val="1"/>
        <c:lblAlgn val="ctr"/>
        <c:lblOffset val="100"/>
      </c:catAx>
      <c:valAx>
        <c:axId val="196612480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ROC/ROC</a:t>
                </a:r>
                <a:r>
                  <a:rPr lang="de-DE" baseline="-250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0</a:t>
                </a:r>
                <a:endParaRPr lang="de-DE" baseline="-25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312324002061516E-2"/>
              <c:y val="0.35136278697322071"/>
            </c:manualLayout>
          </c:layout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.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4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dk1"/>
                </a:solidFill>
                <a:latin typeface="+mn-lt"/>
                <a:ea typeface="+mn-ea"/>
                <a:cs typeface="+mn-cs"/>
              </a:rPr>
              <a:t>Vertikale Geschwindigkeit aufgetragen über die Höhe</a:t>
            </a:r>
            <a:endParaRPr lang="de-DE"/>
          </a:p>
        </c:rich>
      </c:tx>
      <c:layout>
        <c:manualLayout>
          <c:xMode val="edge"/>
          <c:yMode val="edge"/>
          <c:x val="0.41549461036136276"/>
          <c:y val="2.7603514992476052E-2"/>
        </c:manualLayout>
      </c:layout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</c:trendline>
          <c:cat>
            <c:numRef>
              <c:f>Bräunling!$F$61:$Q$61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Bräunling!$F$62:$Q$62</c:f>
              <c:numCache>
                <c:formatCode>0.000</c:formatCode>
                <c:ptCount val="12"/>
                <c:pt idx="0">
                  <c:v>49.988886072483687</c:v>
                </c:pt>
                <c:pt idx="1">
                  <c:v>45.526141122053602</c:v>
                </c:pt>
                <c:pt idx="2">
                  <c:v>41.203870172598343</c:v>
                </c:pt>
                <c:pt idx="3">
                  <c:v>37.040557026780171</c:v>
                </c:pt>
                <c:pt idx="4">
                  <c:v>33.047954525904451</c:v>
                </c:pt>
                <c:pt idx="5">
                  <c:v>29.232041095772274</c:v>
                </c:pt>
                <c:pt idx="6">
                  <c:v>25.593783623601343</c:v>
                </c:pt>
                <c:pt idx="7">
                  <c:v>22.129754418786334</c:v>
                </c:pt>
                <c:pt idx="8">
                  <c:v>18.832638616313133</c:v>
                </c:pt>
                <c:pt idx="9">
                  <c:v>15.691660605830783</c:v>
                </c:pt>
                <c:pt idx="10">
                  <c:v>12.692951609650965</c:v>
                </c:pt>
                <c:pt idx="11">
                  <c:v>9.8198734248731689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86-4FC7-B190-11B431650A9E}"/>
            </c:ext>
          </c:extLst>
        </c:ser>
        <c:marker val="1"/>
        <c:axId val="196846720"/>
        <c:axId val="196848640"/>
      </c:lineChart>
      <c:catAx>
        <c:axId val="196846720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/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48640"/>
        <c:crosses val="autoZero"/>
        <c:auto val="1"/>
        <c:lblAlgn val="ctr"/>
        <c:lblOffset val="100"/>
      </c:catAx>
      <c:valAx>
        <c:axId val="196848640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ROC</a:t>
                </a:r>
                <a:endParaRPr lang="de-DE"/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.0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4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Triebwerksschub</a:t>
            </a:r>
            <a:r>
              <a:rPr lang="en-US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aufgetragen über die Höhe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</c:title>
    <c:plotArea>
      <c:layout/>
      <c:lineChart>
        <c:grouping val="standard"/>
        <c:ser>
          <c:idx val="0"/>
          <c:order val="0"/>
          <c:tx>
            <c:v>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Bräunling!$F$61:$Q$61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Bräunling!$F$46:$Q$46</c:f>
              <c:numCache>
                <c:formatCode>0</c:formatCode>
                <c:ptCount val="12"/>
                <c:pt idx="0">
                  <c:v>245466.09590388165</c:v>
                </c:pt>
                <c:pt idx="1">
                  <c:v>224337.07280394292</c:v>
                </c:pt>
                <c:pt idx="2">
                  <c:v>204279.1875288033</c:v>
                </c:pt>
                <c:pt idx="3">
                  <c:v>185335.91516841698</c:v>
                </c:pt>
                <c:pt idx="4">
                  <c:v>167530.59099670497</c:v>
                </c:pt>
                <c:pt idx="5">
                  <c:v>150870.22172460365</c:v>
                </c:pt>
                <c:pt idx="6">
                  <c:v>135348.54233053463</c:v>
                </c:pt>
                <c:pt idx="7">
                  <c:v>120948.50419795144</c:v>
                </c:pt>
                <c:pt idx="8">
                  <c:v>107644.32621721289</c:v>
                </c:pt>
                <c:pt idx="9">
                  <c:v>95403.204142991613</c:v>
                </c:pt>
                <c:pt idx="10">
                  <c:v>84186.74847618182</c:v>
                </c:pt>
                <c:pt idx="11">
                  <c:v>73952.20356609876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83-4318-A016-52E97D4F0AAF}"/>
            </c:ext>
          </c:extLst>
        </c:ser>
        <c:marker val="1"/>
        <c:axId val="199146880"/>
        <c:axId val="199202304"/>
      </c:lineChart>
      <c:catAx>
        <c:axId val="199146880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02304"/>
        <c:crosses val="autoZero"/>
        <c:auto val="1"/>
        <c:lblAlgn val="ctr"/>
        <c:lblOffset val="100"/>
      </c:catAx>
      <c:valAx>
        <c:axId val="199202304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T</a:t>
                </a:r>
                <a:endParaRPr 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5387403232105379E-2"/>
              <c:y val="0.40018213972884836"/>
            </c:manualLayout>
          </c:layout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46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ROC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Bräunling!$F$61:$Q$61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Bräunling!$F$65:$Q$65</c:f>
              <c:numCache>
                <c:formatCode>0.000</c:formatCode>
                <c:ptCount val="12"/>
                <c:pt idx="0" formatCode="0">
                  <c:v>1</c:v>
                </c:pt>
                <c:pt idx="1">
                  <c:v>0.91072525713097263</c:v>
                </c:pt>
                <c:pt idx="2">
                  <c:v>0.82426061890742863</c:v>
                </c:pt>
                <c:pt idx="3">
                  <c:v>0.74097584357193935</c:v>
                </c:pt>
                <c:pt idx="4">
                  <c:v>0.66110604021031893</c:v>
                </c:pt>
                <c:pt idx="5">
                  <c:v>0.58477080392201441</c:v>
                </c:pt>
                <c:pt idx="6">
                  <c:v>0.51198947675070128</c:v>
                </c:pt>
                <c:pt idx="7">
                  <c:v>0.44269348964284333</c:v>
                </c:pt>
                <c:pt idx="8">
                  <c:v>0.37673651277217662</c:v>
                </c:pt>
                <c:pt idx="9">
                  <c:v>0.31390298601729066</c:v>
                </c:pt>
                <c:pt idx="10">
                  <c:v>0.25391547215607557</c:v>
                </c:pt>
                <c:pt idx="11">
                  <c:v>0.1964411331477639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75-4F9B-AFE9-806D4040063A}"/>
            </c:ext>
          </c:extLst>
        </c:ser>
        <c:ser>
          <c:idx val="3"/>
          <c:order val="1"/>
          <c:tx>
            <c:v>ROC linear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Bräunling!$F$66:$Q$66</c:f>
              <c:numCache>
                <c:formatCode>0.000</c:formatCode>
                <c:ptCount val="12"/>
                <c:pt idx="0" formatCode="General">
                  <c:v>1</c:v>
                </c:pt>
                <c:pt idx="1">
                  <c:v>0.92694919392252395</c:v>
                </c:pt>
                <c:pt idx="2">
                  <c:v>0.85389838784504801</c:v>
                </c:pt>
                <c:pt idx="3">
                  <c:v>0.78084758176757196</c:v>
                </c:pt>
                <c:pt idx="4">
                  <c:v>0.70779677569009603</c:v>
                </c:pt>
                <c:pt idx="5">
                  <c:v>0.63474596961261998</c:v>
                </c:pt>
                <c:pt idx="6">
                  <c:v>0.56169516353514393</c:v>
                </c:pt>
                <c:pt idx="7">
                  <c:v>0.48864435745766799</c:v>
                </c:pt>
                <c:pt idx="8">
                  <c:v>0.41559355138019194</c:v>
                </c:pt>
                <c:pt idx="9">
                  <c:v>0.34254274530271589</c:v>
                </c:pt>
                <c:pt idx="10">
                  <c:v>0.26949193922523995</c:v>
                </c:pt>
                <c:pt idx="11">
                  <c:v>0.1964411331477639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5B-4E6F-9613-35676FC924D9}"/>
            </c:ext>
          </c:extLst>
        </c:ser>
        <c:marker val="1"/>
        <c:axId val="199232512"/>
        <c:axId val="1992510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T2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Bräunling!$F$85:$Q$85</c15:sqref>
                        </c15:formulaRef>
                      </c:ext>
                    </c:extLst>
                    <c:numCache>
                      <c:formatCode>0.000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375-4F9B-AFE9-806D4040063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T3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Bräunling!$F$86:$Q$86</c15:sqref>
                        </c15:formulaRef>
                      </c:ext>
                    </c:extLst>
                    <c:numCache>
                      <c:formatCode>0.000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375-4F9B-AFE9-806D4040063A}"/>
                  </c:ext>
                </c:extLst>
              </c15:ser>
            </c15:filteredLineSeries>
          </c:ext>
        </c:extLst>
      </c:lineChart>
      <c:catAx>
        <c:axId val="199232512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/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51072"/>
        <c:crosses val="autoZero"/>
        <c:auto val="1"/>
        <c:lblAlgn val="ctr"/>
        <c:lblOffset val="100"/>
      </c:catAx>
      <c:valAx>
        <c:axId val="199251072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ROC</a:t>
                </a:r>
                <a:endParaRPr lang="de-DE"/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.0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32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Scholz!$F$56:$Q$56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Scholz!$F$46:$Q$46</c:f>
              <c:numCache>
                <c:formatCode>0</c:formatCode>
                <c:ptCount val="12"/>
                <c:pt idx="0">
                  <c:v>183815.99999999997</c:v>
                </c:pt>
                <c:pt idx="1">
                  <c:v>170945.12444918143</c:v>
                </c:pt>
                <c:pt idx="2">
                  <c:v>158706.23039686226</c:v>
                </c:pt>
                <c:pt idx="3">
                  <c:v>147082.12037784918</c:v>
                </c:pt>
                <c:pt idx="4">
                  <c:v>136055.67056365879</c:v>
                </c:pt>
                <c:pt idx="5">
                  <c:v>125609.83221795299</c:v>
                </c:pt>
                <c:pt idx="6">
                  <c:v>115727.63321748727</c:v>
                </c:pt>
                <c:pt idx="7">
                  <c:v>106392.17964326037</c:v>
                </c:pt>
                <c:pt idx="8">
                  <c:v>97586.657447018137</c:v>
                </c:pt>
                <c:pt idx="9">
                  <c:v>89294.334198793644</c:v>
                </c:pt>
                <c:pt idx="10">
                  <c:v>81498.560921759927</c:v>
                </c:pt>
                <c:pt idx="11">
                  <c:v>74182.774021348916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A8-4B2B-85FA-7660106AC94A}"/>
            </c:ext>
          </c:extLst>
        </c:ser>
        <c:marker val="1"/>
        <c:axId val="199292416"/>
        <c:axId val="19929433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Scholz!$F$56:$Q$56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1000</c:v>
                      </c:pt>
                      <c:pt idx="2">
                        <c:v>2000</c:v>
                      </c:pt>
                      <c:pt idx="3">
                        <c:v>3000</c:v>
                      </c:pt>
                      <c:pt idx="4">
                        <c:v>4000</c:v>
                      </c:pt>
                      <c:pt idx="5">
                        <c:v>5000</c:v>
                      </c:pt>
                      <c:pt idx="6">
                        <c:v>6000</c:v>
                      </c:pt>
                      <c:pt idx="7">
                        <c:v>7000</c:v>
                      </c:pt>
                      <c:pt idx="8">
                        <c:v>8000</c:v>
                      </c:pt>
                      <c:pt idx="9">
                        <c:v>9000</c:v>
                      </c:pt>
                      <c:pt idx="10">
                        <c:v>10000</c:v>
                      </c:pt>
                      <c:pt idx="11">
                        <c:v>11000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(Scholz!$F$60,Scholz!$Q$60)</c15:sqref>
                        </c15:formulaRef>
                      </c:ext>
                    </c:extLst>
                    <c:numCache>
                      <c:formatCode>0.000</c:formatCode>
                      <c:ptCount val="2"/>
                      <c:pt idx="0" formatCode="General">
                        <c:v>1</c:v>
                      </c:pt>
                      <c:pt idx="1">
                        <c:v>0.31483902240552231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BA8-4B2B-85FA-7660106AC94A}"/>
                  </c:ext>
                </c:extLst>
              </c15:ser>
            </c15:filteredLineSeries>
          </c:ext>
        </c:extLst>
      </c:lineChart>
      <c:catAx>
        <c:axId val="199292416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94336"/>
        <c:crosses val="autoZero"/>
        <c:auto val="1"/>
        <c:lblAlgn val="ctr"/>
        <c:lblOffset val="100"/>
      </c:catAx>
      <c:valAx>
        <c:axId val="199294336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T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0" sourceLinked="0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292416"/>
        <c:crosses val="autoZero"/>
        <c:crossBetween val="midCat"/>
        <c:majorUnit val="50000"/>
      </c:valAx>
      <c:spPr>
        <a:noFill/>
        <a:ln>
          <a:noFill/>
        </a:ln>
        <a:effectLst/>
      </c:spPr>
    </c:plotArea>
    <c:legend>
      <c:legendPos val="b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ROC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Scholz!$F$56:$Q$56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Scholz!$F$60:$Q$60</c:f>
              <c:numCache>
                <c:formatCode>0.000</c:formatCode>
                <c:ptCount val="12"/>
                <c:pt idx="0" formatCode="General">
                  <c:v>1</c:v>
                </c:pt>
                <c:pt idx="1">
                  <c:v>0.93178444236239133</c:v>
                </c:pt>
                <c:pt idx="2">
                  <c:v>0.86520686220538123</c:v>
                </c:pt>
                <c:pt idx="3">
                  <c:v>0.80014878274365664</c:v>
                </c:pt>
                <c:pt idx="4">
                  <c:v>0.73647878043218773</c:v>
                </c:pt>
                <c:pt idx="5">
                  <c:v>0.6740505274878309</c:v>
                </c:pt>
                <c:pt idx="6">
                  <c:v>0.6127005386930876</c:v>
                </c:pt>
                <c:pt idx="7">
                  <c:v>0.55224557844456512</c:v>
                </c:pt>
                <c:pt idx="8">
                  <c:v>0.49247967387048219</c:v>
                </c:pt>
                <c:pt idx="9">
                  <c:v>0.43317066441178453</c:v>
                </c:pt>
                <c:pt idx="10">
                  <c:v>0.37405619472198337</c:v>
                </c:pt>
                <c:pt idx="11">
                  <c:v>0.31483902240552231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9-442A-8E94-44C724D6F2F3}"/>
            </c:ext>
          </c:extLst>
        </c:ser>
        <c:ser>
          <c:idx val="1"/>
          <c:order val="1"/>
          <c:tx>
            <c:v>ROC linear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Scholz!$F$56:$Q$56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cat>
          <c:val>
            <c:numRef>
              <c:f>Scholz!$F$61:$Q$61</c:f>
              <c:numCache>
                <c:formatCode>0.000</c:formatCode>
                <c:ptCount val="12"/>
                <c:pt idx="0" formatCode="General">
                  <c:v>1</c:v>
                </c:pt>
                <c:pt idx="1">
                  <c:v>0.93771263840050201</c:v>
                </c:pt>
                <c:pt idx="2">
                  <c:v>0.87542527680100402</c:v>
                </c:pt>
                <c:pt idx="3">
                  <c:v>0.81313791520150613</c:v>
                </c:pt>
                <c:pt idx="4">
                  <c:v>0.75085055360200814</c:v>
                </c:pt>
                <c:pt idx="5">
                  <c:v>0.68856319200251015</c:v>
                </c:pt>
                <c:pt idx="6">
                  <c:v>0.62627583040301227</c:v>
                </c:pt>
                <c:pt idx="7">
                  <c:v>0.56398846880351416</c:v>
                </c:pt>
                <c:pt idx="8">
                  <c:v>0.50170110720401628</c:v>
                </c:pt>
                <c:pt idx="9">
                  <c:v>0.43941374560451829</c:v>
                </c:pt>
                <c:pt idx="10">
                  <c:v>0.3771263840050203</c:v>
                </c:pt>
                <c:pt idx="11">
                  <c:v>0.31483902240552242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29-442A-8E94-44C724D6F2F3}"/>
            </c:ext>
          </c:extLst>
        </c:ser>
        <c:marker val="1"/>
        <c:axId val="114553984"/>
        <c:axId val="114555904"/>
      </c:lineChart>
      <c:catAx>
        <c:axId val="114553984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h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55904"/>
        <c:crosses val="autoZero"/>
        <c:auto val="1"/>
        <c:lblAlgn val="ctr"/>
        <c:lblOffset val="100"/>
      </c:catAx>
      <c:valAx>
        <c:axId val="114555904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ROC</a:t>
                </a:r>
                <a:endParaRPr lang="de-D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spPr>
            <a:solidFill>
              <a:schemeClr val="lt1"/>
            </a:solidFill>
            <a:ln w="12700" cap="flat" cmpd="sng" algn="ctr">
              <a:solidFill>
                <a:schemeClr val="bg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53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430665</xdr:colOff>
      <xdr:row>66</xdr:row>
      <xdr:rowOff>53747</xdr:rowOff>
    </xdr:from>
    <xdr:to>
      <xdr:col>16</xdr:col>
      <xdr:colOff>362629</xdr:colOff>
      <xdr:row>80</xdr:row>
      <xdr:rowOff>129947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EF05890B-E3BF-4FF7-AEF6-B40F3DE28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700087</xdr:colOff>
      <xdr:row>66</xdr:row>
      <xdr:rowOff>74159</xdr:rowOff>
    </xdr:from>
    <xdr:to>
      <xdr:col>8</xdr:col>
      <xdr:colOff>623887</xdr:colOff>
      <xdr:row>80</xdr:row>
      <xdr:rowOff>150359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73458D89-F4A6-440B-A4BC-946ECC28B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668352</xdr:colOff>
      <xdr:row>82</xdr:row>
      <xdr:rowOff>62753</xdr:rowOff>
    </xdr:from>
    <xdr:to>
      <xdr:col>8</xdr:col>
      <xdr:colOff>560295</xdr:colOff>
      <xdr:row>97</xdr:row>
      <xdr:rowOff>27214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4E4A78C9-8F31-4E00-BD4F-2C0C515E17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445831</xdr:colOff>
      <xdr:row>82</xdr:row>
      <xdr:rowOff>121182</xdr:rowOff>
    </xdr:from>
    <xdr:to>
      <xdr:col>16</xdr:col>
      <xdr:colOff>439428</xdr:colOff>
      <xdr:row>98</xdr:row>
      <xdr:rowOff>41621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28BB65BA-7758-48C9-BDD2-A2A42C770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132051</xdr:colOff>
      <xdr:row>75</xdr:row>
      <xdr:rowOff>44594</xdr:rowOff>
    </xdr:from>
    <xdr:to>
      <xdr:col>7</xdr:col>
      <xdr:colOff>132051</xdr:colOff>
      <xdr:row>89</xdr:row>
      <xdr:rowOff>120794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5FDFFDDC-97E9-4CCE-837A-230EA2671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200457</xdr:colOff>
      <xdr:row>90</xdr:row>
      <xdr:rowOff>23812</xdr:rowOff>
    </xdr:from>
    <xdr:to>
      <xdr:col>7</xdr:col>
      <xdr:colOff>200457</xdr:colOff>
      <xdr:row>104</xdr:row>
      <xdr:rowOff>100012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BB1DB983-F027-4B59-AA5E-97C679C7BC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1040946</xdr:colOff>
      <xdr:row>74</xdr:row>
      <xdr:rowOff>125184</xdr:rowOff>
    </xdr:from>
    <xdr:to>
      <xdr:col>14</xdr:col>
      <xdr:colOff>1047750</xdr:colOff>
      <xdr:row>91</xdr:row>
      <xdr:rowOff>-1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A0E6EF1A-DCDB-44DA-978D-7F545E455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0.03607</cdr:x>
      <cdr:y>0.30634</cdr:y>
    </cdr:from>
    <cdr:to>
      <cdr:x>0.03607</cdr:x>
      <cdr:y>0.38803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28713C87-B0DD-4F62-8759-EE2BFA35408E}"/>
            </a:ext>
          </a:extLst>
        </cdr:cNvPr>
        <cdr:cNvCxnSpPr/>
      </cdr:nvCxnSpPr>
      <cdr:spPr>
        <a:xfrm xmlns:a="http://schemas.openxmlformats.org/drawingml/2006/main" flipV="1">
          <a:off x="190666" y="840356"/>
          <a:ext cx="0" cy="2240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0.56374</cdr:x>
      <cdr:y>0.81145</cdr:y>
    </cdr:from>
    <cdr:to>
      <cdr:x>0.60866</cdr:x>
      <cdr:y>0.81145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xmlns="" id="{44525A0A-B630-411E-B35E-141302A1760F}"/>
            </a:ext>
          </a:extLst>
        </cdr:cNvPr>
        <cdr:cNvCxnSpPr/>
      </cdr:nvCxnSpPr>
      <cdr:spPr>
        <a:xfrm xmlns:a="http://schemas.openxmlformats.org/drawingml/2006/main">
          <a:off x="2980142" y="2225961"/>
          <a:ext cx="237482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0.55833</cdr:x>
      <cdr:y>0.81145</cdr:y>
    </cdr:from>
    <cdr:to>
      <cdr:x>0.60326</cdr:x>
      <cdr:y>0.81145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44525A0A-B630-411E-B35E-141302A1760F}"/>
            </a:ext>
          </a:extLst>
        </cdr:cNvPr>
        <cdr:cNvCxnSpPr/>
      </cdr:nvCxnSpPr>
      <cdr:spPr>
        <a:xfrm xmlns:a="http://schemas.openxmlformats.org/drawingml/2006/main">
          <a:off x="2951567" y="2225961"/>
          <a:ext cx="237482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0.05469</cdr:x>
      <cdr:y>0.24847</cdr:y>
    </cdr:from>
    <cdr:to>
      <cdr:x>0.05469</cdr:x>
      <cdr:y>0.33016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xmlns="" id="{2790F85A-95D9-48D5-A48D-FF4CBE1584F8}"/>
            </a:ext>
          </a:extLst>
        </cdr:cNvPr>
        <cdr:cNvCxnSpPr/>
      </cdr:nvCxnSpPr>
      <cdr:spPr>
        <a:xfrm xmlns:a="http://schemas.openxmlformats.org/drawingml/2006/main" flipV="1">
          <a:off x="289091" y="681606"/>
          <a:ext cx="0" cy="2240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0.08941</cdr:x>
      <cdr:y>0.12204</cdr:y>
    </cdr:from>
    <cdr:to>
      <cdr:x>0.12126</cdr:x>
      <cdr:y>0.19557</cdr:y>
    </cdr:to>
    <cdr:sp macro="" textlink="">
      <cdr:nvSpPr>
        <cdr:cNvPr id="4" name="Rechteck 3">
          <a:extLst xmlns:a="http://schemas.openxmlformats.org/drawingml/2006/main">
            <a:ext uri="{FF2B5EF4-FFF2-40B4-BE49-F238E27FC236}">
              <a16:creationId xmlns:a16="http://schemas.microsoft.com/office/drawing/2014/main" xmlns="" id="{52EDAADD-1EA6-4143-8D40-169AF75F8C33}"/>
            </a:ext>
          </a:extLst>
        </cdr:cNvPr>
        <cdr:cNvSpPr/>
      </cdr:nvSpPr>
      <cdr:spPr>
        <a:xfrm xmlns:a="http://schemas.openxmlformats.org/drawingml/2006/main">
          <a:off x="471896" y="334776"/>
          <a:ext cx="168088" cy="2017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0.84312</cdr:x>
      <cdr:y>0.72253</cdr:y>
    </cdr:from>
    <cdr:to>
      <cdr:x>0.90045</cdr:x>
      <cdr:y>0.76746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xmlns="" id="{4B164649-E07A-418F-A997-B324A103ED62}"/>
            </a:ext>
          </a:extLst>
        </cdr:cNvPr>
        <cdr:cNvSpPr/>
      </cdr:nvSpPr>
      <cdr:spPr>
        <a:xfrm xmlns:a="http://schemas.openxmlformats.org/drawingml/2006/main">
          <a:off x="4449984" y="1982041"/>
          <a:ext cx="302559" cy="1232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0.06695</cdr:x>
      <cdr:y>0.10022</cdr:y>
    </cdr:from>
    <cdr:to>
      <cdr:x>0.15094</cdr:x>
      <cdr:y>0.19743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1506AE61-2ED0-410A-92BF-E10206124B05}"/>
            </a:ext>
          </a:extLst>
        </cdr:cNvPr>
        <cdr:cNvSpPr txBox="1"/>
      </cdr:nvSpPr>
      <cdr:spPr>
        <a:xfrm xmlns:a="http://schemas.openxmlformats.org/drawingml/2006/main">
          <a:off x="353358" y="274918"/>
          <a:ext cx="443286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  -</a:t>
          </a:r>
        </a:p>
      </cdr:txBody>
    </cdr:sp>
  </cdr:relSizeAnchor>
  <cdr:relSizeAnchor xmlns:cdr="http://schemas.openxmlformats.org/drawingml/2006/chartDrawing">
    <cdr:from>
      <cdr:x>0.84614</cdr:x>
      <cdr:y>0.68845</cdr:y>
    </cdr:from>
    <cdr:to>
      <cdr:x>0.91187</cdr:x>
      <cdr:y>0.78567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74ED0ED8-70D3-4203-88D2-30B246F27E15}"/>
            </a:ext>
          </a:extLst>
        </cdr:cNvPr>
        <cdr:cNvSpPr txBox="1"/>
      </cdr:nvSpPr>
      <cdr:spPr>
        <a:xfrm xmlns:a="http://schemas.openxmlformats.org/drawingml/2006/main">
          <a:off x="4465918" y="1888565"/>
          <a:ext cx="346905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0.56447</cdr:x>
      <cdr:y>0.83124</cdr:y>
    </cdr:from>
    <cdr:to>
      <cdr:x>0.60675</cdr:x>
      <cdr:y>0.83124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44525A0A-B630-411E-B35E-141302A1760F}"/>
            </a:ext>
          </a:extLst>
        </cdr:cNvPr>
        <cdr:cNvCxnSpPr/>
      </cdr:nvCxnSpPr>
      <cdr:spPr>
        <a:xfrm xmlns:a="http://schemas.openxmlformats.org/drawingml/2006/main">
          <a:off x="3170642" y="2587911"/>
          <a:ext cx="237482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0.04808</cdr:x>
      <cdr:y>0.31683</cdr:y>
    </cdr:from>
    <cdr:to>
      <cdr:x>0.04808</cdr:x>
      <cdr:y>0.38882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xmlns="" id="{2790F85A-95D9-48D5-A48D-FF4CBE1584F8}"/>
            </a:ext>
          </a:extLst>
        </cdr:cNvPr>
        <cdr:cNvCxnSpPr/>
      </cdr:nvCxnSpPr>
      <cdr:spPr>
        <a:xfrm xmlns:a="http://schemas.openxmlformats.org/drawingml/2006/main" flipV="1">
          <a:off x="270041" y="986406"/>
          <a:ext cx="0" cy="2240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0.07117</cdr:x>
      <cdr:y>0.1958</cdr:y>
    </cdr:from>
    <cdr:to>
      <cdr:x>0.1339</cdr:x>
      <cdr:y>0.27011</cdr:y>
    </cdr:to>
    <cdr:sp macro="" textlink="">
      <cdr:nvSpPr>
        <cdr:cNvPr id="4" name="Rechteck 3">
          <a:extLst xmlns:a="http://schemas.openxmlformats.org/drawingml/2006/main">
            <a:ext uri="{FF2B5EF4-FFF2-40B4-BE49-F238E27FC236}">
              <a16:creationId xmlns:a16="http://schemas.microsoft.com/office/drawing/2014/main" xmlns="" id="{09AA4208-C648-4719-8CFB-C45E4632A655}"/>
            </a:ext>
          </a:extLst>
        </cdr:cNvPr>
        <cdr:cNvSpPr/>
      </cdr:nvSpPr>
      <cdr:spPr>
        <a:xfrm xmlns:a="http://schemas.openxmlformats.org/drawingml/2006/main">
          <a:off x="401411" y="609602"/>
          <a:ext cx="353786" cy="2313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0.8456</cdr:x>
      <cdr:y>0.73776</cdr:y>
    </cdr:from>
    <cdr:to>
      <cdr:x>0.90832</cdr:x>
      <cdr:y>0.80332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xmlns="" id="{E4CF0B84-1D75-4516-A53B-3A9E091CBE92}"/>
            </a:ext>
          </a:extLst>
        </cdr:cNvPr>
        <cdr:cNvSpPr/>
      </cdr:nvSpPr>
      <cdr:spPr>
        <a:xfrm xmlns:a="http://schemas.openxmlformats.org/drawingml/2006/main">
          <a:off x="4769304" y="2296887"/>
          <a:ext cx="353786" cy="2041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0.8534</cdr:x>
      <cdr:y>0.72436</cdr:y>
    </cdr:from>
    <cdr:to>
      <cdr:x>0.91508</cdr:x>
      <cdr:y>0.81002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611998C4-5427-4757-AC94-D20341DFA554}"/>
            </a:ext>
          </a:extLst>
        </cdr:cNvPr>
        <cdr:cNvSpPr txBox="1"/>
      </cdr:nvSpPr>
      <cdr:spPr>
        <a:xfrm xmlns:a="http://schemas.openxmlformats.org/drawingml/2006/main">
          <a:off x="4813300" y="2255157"/>
          <a:ext cx="347905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cdr:txBody>
    </cdr:sp>
  </cdr:relSizeAnchor>
  <cdr:relSizeAnchor xmlns:cdr="http://schemas.openxmlformats.org/drawingml/2006/chartDrawing">
    <cdr:from>
      <cdr:x>0.07415</cdr:x>
      <cdr:y>0.19114</cdr:y>
    </cdr:from>
    <cdr:to>
      <cdr:x>0.15275</cdr:x>
      <cdr:y>0.2768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423F7685-19E7-47BF-86D7-734F4E0FB0C2}"/>
            </a:ext>
          </a:extLst>
        </cdr:cNvPr>
        <cdr:cNvSpPr txBox="1"/>
      </cdr:nvSpPr>
      <cdr:spPr>
        <a:xfrm xmlns:a="http://schemas.openxmlformats.org/drawingml/2006/main">
          <a:off x="418192" y="595086"/>
          <a:ext cx="443360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m/s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547687</xdr:colOff>
      <xdr:row>86</xdr:row>
      <xdr:rowOff>87889</xdr:rowOff>
    </xdr:from>
    <xdr:to>
      <xdr:col>15</xdr:col>
      <xdr:colOff>547687</xdr:colOff>
      <xdr:row>100</xdr:row>
      <xdr:rowOff>164089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1A1521AC-7212-485C-BE46-9E57219864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592714</xdr:colOff>
      <xdr:row>86</xdr:row>
      <xdr:rowOff>131184</xdr:rowOff>
    </xdr:from>
    <xdr:to>
      <xdr:col>7</xdr:col>
      <xdr:colOff>592714</xdr:colOff>
      <xdr:row>101</xdr:row>
      <xdr:rowOff>16884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4FF5F3D7-1439-47BA-BC97-AF36CDA08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328612</xdr:colOff>
      <xdr:row>101</xdr:row>
      <xdr:rowOff>159760</xdr:rowOff>
    </xdr:from>
    <xdr:to>
      <xdr:col>7</xdr:col>
      <xdr:colOff>588385</xdr:colOff>
      <xdr:row>116</xdr:row>
      <xdr:rowOff>45460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C77D6130-6503-4564-ADAA-41A3B9B0F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0.04152</cdr:x>
      <cdr:y>0.30375</cdr:y>
    </cdr:from>
    <cdr:to>
      <cdr:x>0.04152</cdr:x>
      <cdr:y>0.38545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5304753F-3E84-4808-ABB2-BDE316DC4EE5}"/>
            </a:ext>
          </a:extLst>
        </cdr:cNvPr>
        <cdr:cNvCxnSpPr/>
      </cdr:nvCxnSpPr>
      <cdr:spPr>
        <a:xfrm xmlns:a="http://schemas.openxmlformats.org/drawingml/2006/main" flipV="1">
          <a:off x="272195" y="833259"/>
          <a:ext cx="0" cy="2240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0.56155</cdr:x>
      <cdr:y>0.81363</cdr:y>
    </cdr:from>
    <cdr:to>
      <cdr:x>0.59772</cdr:x>
      <cdr:y>0.81363</cdr:y>
    </cdr:to>
    <cdr:cxnSp macro="">
      <cdr:nvCxnSpPr>
        <cdr:cNvPr id="4" name="Gerade Verbindung mit Pfeil 3">
          <a:extLst xmlns:a="http://schemas.openxmlformats.org/drawingml/2006/main">
            <a:ext uri="{FF2B5EF4-FFF2-40B4-BE49-F238E27FC236}">
              <a16:creationId xmlns:a16="http://schemas.microsoft.com/office/drawing/2014/main" xmlns="" id="{063B6B81-C5F7-485B-866D-84A5A65648BA}"/>
            </a:ext>
          </a:extLst>
        </cdr:cNvPr>
        <cdr:cNvCxnSpPr/>
      </cdr:nvCxnSpPr>
      <cdr:spPr>
        <a:xfrm xmlns:a="http://schemas.openxmlformats.org/drawingml/2006/main">
          <a:off x="3681234" y="2231937"/>
          <a:ext cx="237104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0.854</cdr:x>
      <cdr:y>0.7066</cdr:y>
    </cdr:from>
    <cdr:to>
      <cdr:x>0.90912</cdr:x>
      <cdr:y>0.76973</cdr:y>
    </cdr:to>
    <cdr:sp macro="" textlink="">
      <cdr:nvSpPr>
        <cdr:cNvPr id="6" name="Rechteck 5">
          <a:extLst xmlns:a="http://schemas.openxmlformats.org/drawingml/2006/main">
            <a:ext uri="{FF2B5EF4-FFF2-40B4-BE49-F238E27FC236}">
              <a16:creationId xmlns:a16="http://schemas.microsoft.com/office/drawing/2014/main" xmlns="" id="{8E3CFB3F-70E4-483E-994E-BD81B9B22B75}"/>
            </a:ext>
          </a:extLst>
        </cdr:cNvPr>
        <cdr:cNvSpPr/>
      </cdr:nvSpPr>
      <cdr:spPr>
        <a:xfrm xmlns:a="http://schemas.openxmlformats.org/drawingml/2006/main">
          <a:off x="5634904" y="1938338"/>
          <a:ext cx="363682" cy="1731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0.86072</cdr:x>
      <cdr:y>0.6814</cdr:y>
    </cdr:from>
    <cdr:to>
      <cdr:x>0.91344</cdr:x>
      <cdr:y>0.77861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EB5429A6-4AF3-4A88-99F2-E1B9AD7704AF}"/>
            </a:ext>
          </a:extLst>
        </cdr:cNvPr>
        <cdr:cNvSpPr txBox="1"/>
      </cdr:nvSpPr>
      <cdr:spPr>
        <a:xfrm xmlns:a="http://schemas.openxmlformats.org/drawingml/2006/main">
          <a:off x="5679209" y="1869209"/>
          <a:ext cx="347905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cdr:txBody>
    </cdr:sp>
  </cdr:relSizeAnchor>
  <cdr:relSizeAnchor xmlns:cdr="http://schemas.openxmlformats.org/drawingml/2006/chartDrawing">
    <cdr:from>
      <cdr:x>0.06135</cdr:x>
      <cdr:y>0.22049</cdr:y>
    </cdr:from>
    <cdr:to>
      <cdr:x>0.11909</cdr:x>
      <cdr:y>0.28993</cdr:y>
    </cdr:to>
    <cdr:sp macro="" textlink="">
      <cdr:nvSpPr>
        <cdr:cNvPr id="8" name="Rechteck 7">
          <a:extLst xmlns:a="http://schemas.openxmlformats.org/drawingml/2006/main">
            <a:ext uri="{FF2B5EF4-FFF2-40B4-BE49-F238E27FC236}">
              <a16:creationId xmlns:a16="http://schemas.microsoft.com/office/drawing/2014/main" xmlns="" id="{CE79404C-81E0-44F0-AEB1-CE6EF1DB5AAC}"/>
            </a:ext>
          </a:extLst>
        </cdr:cNvPr>
        <cdr:cNvSpPr/>
      </cdr:nvSpPr>
      <cdr:spPr>
        <a:xfrm xmlns:a="http://schemas.openxmlformats.org/drawingml/2006/main">
          <a:off x="404813" y="604838"/>
          <a:ext cx="381000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0.06282</cdr:x>
      <cdr:y>0.2016</cdr:y>
    </cdr:from>
    <cdr:to>
      <cdr:x>0.13001</cdr:x>
      <cdr:y>0.29882</cdr:y>
    </cdr:to>
    <cdr:sp macro="" textlink="">
      <cdr:nvSpPr>
        <cdr:cNvPr id="9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423F7685-19E7-47BF-86D7-734F4E0FB0C2}"/>
            </a:ext>
          </a:extLst>
        </cdr:cNvPr>
        <cdr:cNvSpPr txBox="1"/>
      </cdr:nvSpPr>
      <cdr:spPr>
        <a:xfrm xmlns:a="http://schemas.openxmlformats.org/drawingml/2006/main">
          <a:off x="414482" y="553028"/>
          <a:ext cx="443360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m/s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0.03976</cdr:x>
      <cdr:y>0.30375</cdr:y>
    </cdr:from>
    <cdr:to>
      <cdr:x>0.03976</cdr:x>
      <cdr:y>0.38545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5304753F-3E84-4808-ABB2-BDE316DC4EE5}"/>
            </a:ext>
          </a:extLst>
        </cdr:cNvPr>
        <cdr:cNvCxnSpPr/>
      </cdr:nvCxnSpPr>
      <cdr:spPr>
        <a:xfrm xmlns:a="http://schemas.openxmlformats.org/drawingml/2006/main" flipV="1">
          <a:off x="204960" y="833259"/>
          <a:ext cx="0" cy="2240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0.5685</cdr:x>
      <cdr:y>0.81363</cdr:y>
    </cdr:from>
    <cdr:to>
      <cdr:x>0.6145</cdr:x>
      <cdr:y>0.81363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xmlns="" id="{063B6B81-C5F7-485B-866D-84A5A65648BA}"/>
            </a:ext>
          </a:extLst>
        </cdr:cNvPr>
        <cdr:cNvCxnSpPr/>
      </cdr:nvCxnSpPr>
      <cdr:spPr>
        <a:xfrm xmlns:a="http://schemas.openxmlformats.org/drawingml/2006/main">
          <a:off x="2930440" y="2231938"/>
          <a:ext cx="237104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0.08004</cdr:x>
      <cdr:y>0.13375</cdr:y>
    </cdr:from>
    <cdr:to>
      <cdr:x>0.1173</cdr:x>
      <cdr:y>0.18686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xmlns="" id="{B99B8CD0-D94C-44E0-A725-5D907E14BAC6}"/>
            </a:ext>
          </a:extLst>
        </cdr:cNvPr>
        <cdr:cNvSpPr/>
      </cdr:nvSpPr>
      <cdr:spPr>
        <a:xfrm xmlns:a="http://schemas.openxmlformats.org/drawingml/2006/main">
          <a:off x="433388" y="366916"/>
          <a:ext cx="201706" cy="1456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0.83959</cdr:x>
      <cdr:y>0.71791</cdr:y>
    </cdr:from>
    <cdr:to>
      <cdr:x>0.90582</cdr:x>
      <cdr:y>0.77101</cdr:y>
    </cdr:to>
    <cdr:sp macro="" textlink="">
      <cdr:nvSpPr>
        <cdr:cNvPr id="3" name="Rechteck 2">
          <a:extLst xmlns:a="http://schemas.openxmlformats.org/drawingml/2006/main">
            <a:ext uri="{FF2B5EF4-FFF2-40B4-BE49-F238E27FC236}">
              <a16:creationId xmlns:a16="http://schemas.microsoft.com/office/drawing/2014/main" xmlns="" id="{0CF159D8-50AF-492F-B9B2-0E9EB9B1D421}"/>
            </a:ext>
          </a:extLst>
        </cdr:cNvPr>
        <cdr:cNvSpPr/>
      </cdr:nvSpPr>
      <cdr:spPr>
        <a:xfrm xmlns:a="http://schemas.openxmlformats.org/drawingml/2006/main">
          <a:off x="4545947" y="1969358"/>
          <a:ext cx="358588" cy="1456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0.06526</cdr:x>
      <cdr:y>0.1043</cdr:y>
    </cdr:from>
    <cdr:to>
      <cdr:x>0.14713</cdr:x>
      <cdr:y>0.20152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1506AE61-2ED0-410A-92BF-E10206124B05}"/>
            </a:ext>
          </a:extLst>
        </cdr:cNvPr>
        <cdr:cNvSpPr txBox="1"/>
      </cdr:nvSpPr>
      <cdr:spPr>
        <a:xfrm xmlns:a="http://schemas.openxmlformats.org/drawingml/2006/main">
          <a:off x="353359" y="286124"/>
          <a:ext cx="443286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 -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0.84965</cdr:x>
      <cdr:y>0.68845</cdr:y>
    </cdr:from>
    <cdr:to>
      <cdr:x>0.91372</cdr:x>
      <cdr:y>0.78567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74ED0ED8-70D3-4203-88D2-30B246F27E15}"/>
            </a:ext>
          </a:extLst>
        </cdr:cNvPr>
        <cdr:cNvSpPr txBox="1"/>
      </cdr:nvSpPr>
      <cdr:spPr>
        <a:xfrm xmlns:a="http://schemas.openxmlformats.org/drawingml/2006/main">
          <a:off x="4600388" y="1888565"/>
          <a:ext cx="346905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cdr:txBody>
    </cdr:sp>
  </cdr:relSizeAnchor>
  <cdr:relSizeAnchor xmlns:cdr="http://schemas.openxmlformats.org/drawingml/2006/chartDrawing">
    <cdr:from>
      <cdr:x>0.05027</cdr:x>
      <cdr:y>0.23839</cdr:y>
    </cdr:from>
    <cdr:to>
      <cdr:x>0.05027</cdr:x>
      <cdr:y>0.32009</cdr:y>
    </cdr:to>
    <cdr:cxnSp macro="">
      <cdr:nvCxnSpPr>
        <cdr:cNvPr id="6" name="Gerade Verbindung mit Pfeil 5">
          <a:extLst xmlns:a="http://schemas.openxmlformats.org/drawingml/2006/main">
            <a:ext uri="{FF2B5EF4-FFF2-40B4-BE49-F238E27FC236}">
              <a16:creationId xmlns:a16="http://schemas.microsoft.com/office/drawing/2014/main" xmlns="" id="{5304753F-3E84-4808-ABB2-BDE316DC4EE5}"/>
            </a:ext>
          </a:extLst>
        </cdr:cNvPr>
        <cdr:cNvCxnSpPr/>
      </cdr:nvCxnSpPr>
      <cdr:spPr>
        <a:xfrm xmlns:a="http://schemas.openxmlformats.org/drawingml/2006/main" flipV="1">
          <a:off x="272196" y="653965"/>
          <a:ext cx="0" cy="2240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0.56192</cdr:x>
      <cdr:y>0.81363</cdr:y>
    </cdr:from>
    <cdr:to>
      <cdr:x>0.60571</cdr:x>
      <cdr:y>0.81363</cdr:y>
    </cdr:to>
    <cdr:cxnSp macro="">
      <cdr:nvCxnSpPr>
        <cdr:cNvPr id="7" name="Gerade Verbindung mit Pfeil 6">
          <a:extLst xmlns:a="http://schemas.openxmlformats.org/drawingml/2006/main">
            <a:ext uri="{FF2B5EF4-FFF2-40B4-BE49-F238E27FC236}">
              <a16:creationId xmlns:a16="http://schemas.microsoft.com/office/drawing/2014/main" xmlns="" id="{063B6B81-C5F7-485B-866D-84A5A65648BA}"/>
            </a:ext>
          </a:extLst>
        </cdr:cNvPr>
        <cdr:cNvCxnSpPr/>
      </cdr:nvCxnSpPr>
      <cdr:spPr>
        <a:xfrm xmlns:a="http://schemas.openxmlformats.org/drawingml/2006/main">
          <a:off x="3042498" y="2231938"/>
          <a:ext cx="237104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133350</xdr:rowOff>
    </xdr:from>
    <xdr:to>
      <xdr:col>2</xdr:col>
      <xdr:colOff>514350</xdr:colOff>
      <xdr:row>9</xdr:row>
      <xdr:rowOff>38100</xdr:rowOff>
    </xdr:to>
    <xdr:pic>
      <xdr:nvPicPr>
        <xdr:cNvPr id="2" name="Picture 5" descr="gplv3-127x5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20193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0.04992</cdr:x>
      <cdr:y>0.24534</cdr:y>
    </cdr:from>
    <cdr:to>
      <cdr:x>0.04992</cdr:x>
      <cdr:y>0.32704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xmlns="" id="{3EF9A7D6-CAF5-44DE-A31C-CB9AD4290D09}"/>
            </a:ext>
          </a:extLst>
        </cdr:cNvPr>
        <cdr:cNvCxnSpPr/>
      </cdr:nvCxnSpPr>
      <cdr:spPr>
        <a:xfrm xmlns:a="http://schemas.openxmlformats.org/drawingml/2006/main" flipV="1">
          <a:off x="275198" y="673007"/>
          <a:ext cx="0" cy="22411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0.56618</cdr:x>
      <cdr:y>0.81315</cdr:y>
    </cdr:from>
    <cdr:to>
      <cdr:x>0.60886</cdr:x>
      <cdr:y>0.81315</cdr:y>
    </cdr:to>
    <cdr:cxnSp macro="">
      <cdr:nvCxnSpPr>
        <cdr:cNvPr id="4" name="Gerade Verbindung mit Pfeil 3">
          <a:extLst xmlns:a="http://schemas.openxmlformats.org/drawingml/2006/main">
            <a:ext uri="{FF2B5EF4-FFF2-40B4-BE49-F238E27FC236}">
              <a16:creationId xmlns:a16="http://schemas.microsoft.com/office/drawing/2014/main" xmlns="" id="{55AB7244-EC01-43F2-960F-9457C21453DD}"/>
            </a:ext>
          </a:extLst>
        </cdr:cNvPr>
        <cdr:cNvCxnSpPr/>
      </cdr:nvCxnSpPr>
      <cdr:spPr>
        <a:xfrm xmlns:a="http://schemas.openxmlformats.org/drawingml/2006/main">
          <a:off x="3121493" y="2230625"/>
          <a:ext cx="235323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0.0842</cdr:x>
      <cdr:y>0.12674</cdr:y>
    </cdr:from>
    <cdr:to>
      <cdr:x>0.14149</cdr:x>
      <cdr:y>0.19618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xmlns="" id="{B251FD32-09EA-4909-925B-8A699B459940}"/>
            </a:ext>
          </a:extLst>
        </cdr:cNvPr>
        <cdr:cNvSpPr/>
      </cdr:nvSpPr>
      <cdr:spPr>
        <a:xfrm xmlns:a="http://schemas.openxmlformats.org/drawingml/2006/main">
          <a:off x="461963" y="347663"/>
          <a:ext cx="314325" cy="1905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0.84809</cdr:x>
      <cdr:y>0.72396</cdr:y>
    </cdr:from>
    <cdr:to>
      <cdr:x>0.90538</cdr:x>
      <cdr:y>0.77951</cdr:y>
    </cdr:to>
    <cdr:sp macro="" textlink="">
      <cdr:nvSpPr>
        <cdr:cNvPr id="6" name="Rechteck 5">
          <a:extLst xmlns:a="http://schemas.openxmlformats.org/drawingml/2006/main">
            <a:ext uri="{FF2B5EF4-FFF2-40B4-BE49-F238E27FC236}">
              <a16:creationId xmlns:a16="http://schemas.microsoft.com/office/drawing/2014/main" xmlns="" id="{5C9470F7-C077-406C-9FD2-8809D76ECCF1}"/>
            </a:ext>
          </a:extLst>
        </cdr:cNvPr>
        <cdr:cNvSpPr/>
      </cdr:nvSpPr>
      <cdr:spPr>
        <a:xfrm xmlns:a="http://schemas.openxmlformats.org/drawingml/2006/main">
          <a:off x="4652963" y="1985963"/>
          <a:ext cx="314325" cy="1524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0.07552</cdr:x>
      <cdr:y>0.10243</cdr:y>
    </cdr:from>
    <cdr:to>
      <cdr:x>0.15538</cdr:x>
      <cdr:y>0.19965</cdr:y>
    </cdr:to>
    <cdr:sp macro="" textlink="">
      <cdr:nvSpPr>
        <cdr:cNvPr id="7" name="Textfeld 6">
          <a:extLst xmlns:a="http://schemas.openxmlformats.org/drawingml/2006/main">
            <a:ext uri="{FF2B5EF4-FFF2-40B4-BE49-F238E27FC236}">
              <a16:creationId xmlns:a16="http://schemas.microsoft.com/office/drawing/2014/main" xmlns="" id="{A7BAFE21-0C91-424D-B4F4-EA08C4F9EB5E}"/>
            </a:ext>
          </a:extLst>
        </cdr:cNvPr>
        <cdr:cNvSpPr txBox="1"/>
      </cdr:nvSpPr>
      <cdr:spPr>
        <a:xfrm xmlns:a="http://schemas.openxmlformats.org/drawingml/2006/main">
          <a:off x="414338" y="280988"/>
          <a:ext cx="4381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m/s</a:t>
          </a:r>
        </a:p>
      </cdr:txBody>
    </cdr:sp>
  </cdr:relSizeAnchor>
  <cdr:relSizeAnchor xmlns:cdr="http://schemas.openxmlformats.org/drawingml/2006/chartDrawing">
    <cdr:from>
      <cdr:x>0.85401</cdr:x>
      <cdr:y>0.68973</cdr:y>
    </cdr:from>
    <cdr:to>
      <cdr:x>0.91651</cdr:x>
      <cdr:y>0.78696</cdr:y>
    </cdr:to>
    <cdr:sp macro="" textlink="">
      <cdr:nvSpPr>
        <cdr:cNvPr id="8" name="Textfeld 7">
          <a:extLst xmlns:a="http://schemas.openxmlformats.org/drawingml/2006/main">
            <a:ext uri="{FF2B5EF4-FFF2-40B4-BE49-F238E27FC236}">
              <a16:creationId xmlns:a16="http://schemas.microsoft.com/office/drawing/2014/main" xmlns="" id="{574DAA93-AA75-4AA5-A56F-C275094902DD}"/>
            </a:ext>
          </a:extLst>
        </cdr:cNvPr>
        <cdr:cNvSpPr txBox="1"/>
      </cdr:nvSpPr>
      <cdr:spPr>
        <a:xfrm xmlns:a="http://schemas.openxmlformats.org/drawingml/2006/main">
          <a:off x="4741202" y="1892066"/>
          <a:ext cx="346982" cy="266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cdr:txBody>
    </cdr:sp>
  </cdr:relSizeAnchor>
  <cdr:relSizeAnchor xmlns:cdr="http://schemas.openxmlformats.org/drawingml/2006/chartDrawing">
    <cdr:from>
      <cdr:x>0.0659</cdr:x>
      <cdr:y>0.12776</cdr:y>
    </cdr:from>
    <cdr:to>
      <cdr:x>0.08623</cdr:x>
      <cdr:y>0.19312</cdr:y>
    </cdr:to>
    <cdr:sp macro="" textlink="">
      <cdr:nvSpPr>
        <cdr:cNvPr id="9" name="Rechteck 8">
          <a:extLst xmlns:a="http://schemas.openxmlformats.org/drawingml/2006/main">
            <a:ext uri="{FF2B5EF4-FFF2-40B4-BE49-F238E27FC236}">
              <a16:creationId xmlns:a16="http://schemas.microsoft.com/office/drawing/2014/main" xmlns="" id="{1EC3FB8E-458C-43FC-841A-8A093FC2A021}"/>
            </a:ext>
          </a:extLst>
        </cdr:cNvPr>
        <cdr:cNvSpPr/>
      </cdr:nvSpPr>
      <cdr:spPr>
        <a:xfrm xmlns:a="http://schemas.openxmlformats.org/drawingml/2006/main">
          <a:off x="363351" y="350464"/>
          <a:ext cx="112059" cy="179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0.0283</cdr:x>
      <cdr:y>0.25541</cdr:y>
    </cdr:from>
    <cdr:to>
      <cdr:x>0.0283</cdr:x>
      <cdr:y>0.33711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xmlns="" id="{DB28E00D-D1F0-4300-B167-37BB51638C45}"/>
            </a:ext>
          </a:extLst>
        </cdr:cNvPr>
        <cdr:cNvCxnSpPr/>
      </cdr:nvCxnSpPr>
      <cdr:spPr>
        <a:xfrm xmlns:a="http://schemas.openxmlformats.org/drawingml/2006/main" flipV="1">
          <a:off x="145957" y="700648"/>
          <a:ext cx="0" cy="22411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0.55633</cdr:x>
      <cdr:y>0.81097</cdr:y>
    </cdr:from>
    <cdr:to>
      <cdr:x>0.60197</cdr:x>
      <cdr:y>0.81097</cdr:y>
    </cdr:to>
    <cdr:cxnSp macro="">
      <cdr:nvCxnSpPr>
        <cdr:cNvPr id="9" name="Gerade Verbindung mit Pfeil 8">
          <a:extLst xmlns:a="http://schemas.openxmlformats.org/drawingml/2006/main">
            <a:ext uri="{FF2B5EF4-FFF2-40B4-BE49-F238E27FC236}">
              <a16:creationId xmlns:a16="http://schemas.microsoft.com/office/drawing/2014/main" xmlns="" id="{0E6D59AE-1E1A-4414-AF3C-E7D8DF963DF0}"/>
            </a:ext>
          </a:extLst>
        </cdr:cNvPr>
        <cdr:cNvCxnSpPr/>
      </cdr:nvCxnSpPr>
      <cdr:spPr>
        <a:xfrm xmlns:a="http://schemas.openxmlformats.org/drawingml/2006/main">
          <a:off x="2868987" y="2224648"/>
          <a:ext cx="235323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0.04569</cdr:x>
      <cdr:y>0.12061</cdr:y>
    </cdr:from>
    <cdr:to>
      <cdr:x>0.13043</cdr:x>
      <cdr:y>0.19005</cdr:y>
    </cdr:to>
    <cdr:sp macro="" textlink="">
      <cdr:nvSpPr>
        <cdr:cNvPr id="10" name="Rechteck 9">
          <a:extLst xmlns:a="http://schemas.openxmlformats.org/drawingml/2006/main">
            <a:ext uri="{FF2B5EF4-FFF2-40B4-BE49-F238E27FC236}">
              <a16:creationId xmlns:a16="http://schemas.microsoft.com/office/drawing/2014/main" xmlns="" id="{D79E1B6B-3B82-460A-909F-E116C48B9F26}"/>
            </a:ext>
          </a:extLst>
        </cdr:cNvPr>
        <cdr:cNvSpPr/>
      </cdr:nvSpPr>
      <cdr:spPr>
        <a:xfrm xmlns:a="http://schemas.openxmlformats.org/drawingml/2006/main">
          <a:off x="235604" y="330854"/>
          <a:ext cx="437030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0.83447</cdr:x>
      <cdr:y>0.71701</cdr:y>
    </cdr:from>
    <cdr:to>
      <cdr:x>0.90401</cdr:x>
      <cdr:y>0.77012</cdr:y>
    </cdr:to>
    <cdr:sp macro="" textlink="">
      <cdr:nvSpPr>
        <cdr:cNvPr id="11" name="Rechteck 10">
          <a:extLst xmlns:a="http://schemas.openxmlformats.org/drawingml/2006/main">
            <a:ext uri="{FF2B5EF4-FFF2-40B4-BE49-F238E27FC236}">
              <a16:creationId xmlns:a16="http://schemas.microsoft.com/office/drawing/2014/main" xmlns="" id="{0A45CEF1-DF79-4203-BEB4-7AA89080702A}"/>
            </a:ext>
          </a:extLst>
        </cdr:cNvPr>
        <cdr:cNvSpPr/>
      </cdr:nvSpPr>
      <cdr:spPr>
        <a:xfrm xmlns:a="http://schemas.openxmlformats.org/drawingml/2006/main">
          <a:off x="4303340" y="1966913"/>
          <a:ext cx="358588" cy="1456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0.06288</cdr:x>
      <cdr:y>0.11315</cdr:y>
    </cdr:from>
    <cdr:to>
      <cdr:x>0.12258</cdr:x>
      <cdr:y>0.18863</cdr:y>
    </cdr:to>
    <cdr:sp macro="" textlink="">
      <cdr:nvSpPr>
        <cdr:cNvPr id="12" name="Textfeld 11">
          <a:extLst xmlns:a="http://schemas.openxmlformats.org/drawingml/2006/main">
            <a:ext uri="{FF2B5EF4-FFF2-40B4-BE49-F238E27FC236}">
              <a16:creationId xmlns:a16="http://schemas.microsoft.com/office/drawing/2014/main" xmlns="" id="{2E71B1F2-59CA-45FA-AC8A-A20A0AD7D624}"/>
            </a:ext>
          </a:extLst>
        </cdr:cNvPr>
        <cdr:cNvSpPr txBox="1"/>
      </cdr:nvSpPr>
      <cdr:spPr>
        <a:xfrm xmlns:a="http://schemas.openxmlformats.org/drawingml/2006/main">
          <a:off x="322815" y="310391"/>
          <a:ext cx="306456" cy="207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latin typeface="Times New Roman" panose="02020603050405020304" pitchFamily="18" charset="0"/>
              <a:cs typeface="Times New Roman" panose="02020603050405020304" pitchFamily="18" charset="0"/>
            </a:rPr>
            <a:t>N</a:t>
          </a:r>
        </a:p>
      </cdr:txBody>
    </cdr:sp>
  </cdr:relSizeAnchor>
  <cdr:relSizeAnchor xmlns:cdr="http://schemas.openxmlformats.org/drawingml/2006/chartDrawing">
    <cdr:from>
      <cdr:x>0.85062</cdr:x>
      <cdr:y>0.69394</cdr:y>
    </cdr:from>
    <cdr:to>
      <cdr:x>0.90709</cdr:x>
      <cdr:y>0.79056</cdr:y>
    </cdr:to>
    <cdr:sp macro="" textlink="">
      <cdr:nvSpPr>
        <cdr:cNvPr id="13" name="Textfeld 12">
          <a:extLst xmlns:a="http://schemas.openxmlformats.org/drawingml/2006/main">
            <a:ext uri="{FF2B5EF4-FFF2-40B4-BE49-F238E27FC236}">
              <a16:creationId xmlns:a16="http://schemas.microsoft.com/office/drawing/2014/main" xmlns="" id="{C08AD681-85A9-4FFC-A025-D3EBBFECCE15}"/>
            </a:ext>
          </a:extLst>
        </cdr:cNvPr>
        <cdr:cNvSpPr txBox="1"/>
      </cdr:nvSpPr>
      <cdr:spPr>
        <a:xfrm xmlns:a="http://schemas.openxmlformats.org/drawingml/2006/main">
          <a:off x="4426091" y="1903615"/>
          <a:ext cx="293834" cy="2650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0.03402</cdr:x>
      <cdr:y>0.25437</cdr:y>
    </cdr:from>
    <cdr:to>
      <cdr:x>0.03402</cdr:x>
      <cdr:y>0.33379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3EF9A7D6-CAF5-44DE-A31C-CB9AD4290D09}"/>
            </a:ext>
          </a:extLst>
        </cdr:cNvPr>
        <cdr:cNvCxnSpPr/>
      </cdr:nvCxnSpPr>
      <cdr:spPr>
        <a:xfrm xmlns:a="http://schemas.openxmlformats.org/drawingml/2006/main" flipV="1">
          <a:off x="174345" y="717831"/>
          <a:ext cx="0" cy="22411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0.54565</cdr:x>
      <cdr:y>0.81825</cdr:y>
    </cdr:from>
    <cdr:to>
      <cdr:x>0.59157</cdr:x>
      <cdr:y>0.81825</cdr:y>
    </cdr:to>
    <cdr:cxnSp macro="">
      <cdr:nvCxnSpPr>
        <cdr:cNvPr id="4" name="Gerade Verbindung mit Pfeil 3">
          <a:extLst xmlns:a="http://schemas.openxmlformats.org/drawingml/2006/main">
            <a:ext uri="{FF2B5EF4-FFF2-40B4-BE49-F238E27FC236}">
              <a16:creationId xmlns:a16="http://schemas.microsoft.com/office/drawing/2014/main" xmlns="" id="{55AB7244-EC01-43F2-960F-9457C21453DD}"/>
            </a:ext>
          </a:extLst>
        </cdr:cNvPr>
        <cdr:cNvCxnSpPr/>
      </cdr:nvCxnSpPr>
      <cdr:spPr>
        <a:xfrm xmlns:a="http://schemas.openxmlformats.org/drawingml/2006/main">
          <a:off x="2796522" y="2309066"/>
          <a:ext cx="235323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0.05272</cdr:x>
      <cdr:y>0.08688</cdr:y>
    </cdr:from>
    <cdr:to>
      <cdr:x>0.09185</cdr:x>
      <cdr:y>0.14088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xmlns="" id="{4D7C80C8-8912-4D0A-B591-027A9513347B}"/>
            </a:ext>
          </a:extLst>
        </cdr:cNvPr>
        <cdr:cNvSpPr/>
      </cdr:nvSpPr>
      <cdr:spPr>
        <a:xfrm xmlns:a="http://schemas.openxmlformats.org/drawingml/2006/main">
          <a:off x="269501" y="245169"/>
          <a:ext cx="200025" cy="1524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0.80801</cdr:x>
      <cdr:y>0.71636</cdr:y>
    </cdr:from>
    <cdr:to>
      <cdr:x>0.90619</cdr:x>
      <cdr:y>0.78557</cdr:y>
    </cdr:to>
    <cdr:sp macro="" textlink="">
      <cdr:nvSpPr>
        <cdr:cNvPr id="6" name="Rechteck 5">
          <a:extLst xmlns:a="http://schemas.openxmlformats.org/drawingml/2006/main">
            <a:ext uri="{FF2B5EF4-FFF2-40B4-BE49-F238E27FC236}">
              <a16:creationId xmlns:a16="http://schemas.microsoft.com/office/drawing/2014/main" xmlns="" id="{34CFE89E-54E8-4163-A38E-2FF5D40A265C}"/>
            </a:ext>
          </a:extLst>
        </cdr:cNvPr>
        <cdr:cNvSpPr/>
      </cdr:nvSpPr>
      <cdr:spPr>
        <a:xfrm xmlns:a="http://schemas.openxmlformats.org/drawingml/2006/main">
          <a:off x="4150178" y="2021541"/>
          <a:ext cx="504264" cy="1953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0.83356</cdr:x>
      <cdr:y>0.69466</cdr:y>
    </cdr:from>
    <cdr:to>
      <cdr:x>0.90064</cdr:x>
      <cdr:y>0.78916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64A5BA32-40AB-4F55-810C-165ED0C53685}"/>
            </a:ext>
          </a:extLst>
        </cdr:cNvPr>
        <cdr:cNvSpPr txBox="1"/>
      </cdr:nvSpPr>
      <cdr:spPr>
        <a:xfrm xmlns:a="http://schemas.openxmlformats.org/drawingml/2006/main">
          <a:off x="4281411" y="1960295"/>
          <a:ext cx="344543" cy="266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cdr:txBody>
    </cdr:sp>
  </cdr:relSizeAnchor>
  <cdr:relSizeAnchor xmlns:cdr="http://schemas.openxmlformats.org/drawingml/2006/chartDrawing">
    <cdr:from>
      <cdr:x>0.05433</cdr:x>
      <cdr:y>0.06188</cdr:y>
    </cdr:from>
    <cdr:to>
      <cdr:x>0.10643</cdr:x>
      <cdr:y>0.15639</cdr:y>
    </cdr:to>
    <cdr:sp macro="" textlink="">
      <cdr:nvSpPr>
        <cdr:cNvPr id="9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98BC3032-09A6-4376-AD2A-AD42BD085AFD}"/>
            </a:ext>
          </a:extLst>
        </cdr:cNvPr>
        <cdr:cNvSpPr txBox="1"/>
      </cdr:nvSpPr>
      <cdr:spPr>
        <a:xfrm xmlns:a="http://schemas.openxmlformats.org/drawingml/2006/main">
          <a:off x="280980" y="174623"/>
          <a:ext cx="269436" cy="266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0.06458</cdr:x>
      <cdr:y>0.25385</cdr:y>
    </cdr:from>
    <cdr:to>
      <cdr:x>0.06458</cdr:x>
      <cdr:y>0.32935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3EF9A7D6-CAF5-44DE-A31C-CB9AD4290D09}"/>
            </a:ext>
          </a:extLst>
        </cdr:cNvPr>
        <cdr:cNvCxnSpPr/>
      </cdr:nvCxnSpPr>
      <cdr:spPr>
        <a:xfrm xmlns:a="http://schemas.openxmlformats.org/drawingml/2006/main" flipV="1">
          <a:off x="361555" y="753524"/>
          <a:ext cx="0" cy="22411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0.58836</cdr:x>
      <cdr:y>0.82695</cdr:y>
    </cdr:from>
    <cdr:to>
      <cdr:x>0.63057</cdr:x>
      <cdr:y>0.82695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xmlns="" id="{55AB7244-EC01-43F2-960F-9457C21453DD}"/>
            </a:ext>
          </a:extLst>
        </cdr:cNvPr>
        <cdr:cNvCxnSpPr/>
      </cdr:nvCxnSpPr>
      <cdr:spPr>
        <a:xfrm xmlns:a="http://schemas.openxmlformats.org/drawingml/2006/main">
          <a:off x="3293798" y="2454751"/>
          <a:ext cx="23630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0.84599</cdr:x>
      <cdr:y>0.7467</cdr:y>
    </cdr:from>
    <cdr:to>
      <cdr:x>0.90436</cdr:x>
      <cdr:y>0.80445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xmlns="" id="{E870BF7F-5786-4BD7-BE97-0FBB089F668C}"/>
            </a:ext>
          </a:extLst>
        </cdr:cNvPr>
        <cdr:cNvSpPr/>
      </cdr:nvSpPr>
      <cdr:spPr>
        <a:xfrm xmlns:a="http://schemas.openxmlformats.org/drawingml/2006/main">
          <a:off x="4693586" y="2216525"/>
          <a:ext cx="323850" cy="1714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0.85212</cdr:x>
      <cdr:y>0.7125</cdr:y>
    </cdr:from>
    <cdr:to>
      <cdr:x>0.91392</cdr:x>
      <cdr:y>0.80234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64A5BA32-40AB-4F55-810C-165ED0C53685}"/>
            </a:ext>
          </a:extLst>
        </cdr:cNvPr>
        <cdr:cNvSpPr txBox="1"/>
      </cdr:nvSpPr>
      <cdr:spPr>
        <a:xfrm xmlns:a="http://schemas.openxmlformats.org/drawingml/2006/main">
          <a:off x="4783245" y="2115008"/>
          <a:ext cx="346905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itchFamily="34" charset="0"/>
              <a:cs typeface="Arial" pitchFamily="34" charset="0"/>
            </a:rPr>
            <a:t>m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636010</xdr:colOff>
      <xdr:row>95</xdr:row>
      <xdr:rowOff>54985</xdr:rowOff>
    </xdr:from>
    <xdr:to>
      <xdr:col>15</xdr:col>
      <xdr:colOff>636010</xdr:colOff>
      <xdr:row>109</xdr:row>
      <xdr:rowOff>148503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3635A2A2-3212-4F18-B56C-92BF361A9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85292</xdr:colOff>
      <xdr:row>95</xdr:row>
      <xdr:rowOff>59315</xdr:rowOff>
    </xdr:from>
    <xdr:to>
      <xdr:col>8</xdr:col>
      <xdr:colOff>9092</xdr:colOff>
      <xdr:row>109</xdr:row>
      <xdr:rowOff>152833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72EEAD9B-1BC8-42C3-A127-755DA3796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155431</xdr:colOff>
      <xdr:row>111</xdr:row>
      <xdr:rowOff>171882</xdr:rowOff>
    </xdr:from>
    <xdr:to>
      <xdr:col>8</xdr:col>
      <xdr:colOff>79231</xdr:colOff>
      <xdr:row>126</xdr:row>
      <xdr:rowOff>57582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81C120FE-3A6D-4DAE-93C3-7FA2D84F04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0.55762</cdr:x>
      <cdr:y>0.80805</cdr:y>
    </cdr:from>
    <cdr:to>
      <cdr:x>0.59422</cdr:x>
      <cdr:y>0.80805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77EF6C7A-7618-481B-814F-CDBB27DD1995}"/>
            </a:ext>
          </a:extLst>
        </cdr:cNvPr>
        <cdr:cNvCxnSpPr/>
      </cdr:nvCxnSpPr>
      <cdr:spPr>
        <a:xfrm xmlns:a="http://schemas.openxmlformats.org/drawingml/2006/main">
          <a:off x="3617944" y="2230630"/>
          <a:ext cx="237482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0.04312</cdr:x>
      <cdr:y>0.30077</cdr:y>
    </cdr:from>
    <cdr:to>
      <cdr:x>0.04312</cdr:x>
      <cdr:y>0.38195</cdr:y>
    </cdr:to>
    <cdr:cxnSp macro="">
      <cdr:nvCxnSpPr>
        <cdr:cNvPr id="4" name="Gerade Verbindung mit Pfeil 3">
          <a:extLst xmlns:a="http://schemas.openxmlformats.org/drawingml/2006/main">
            <a:ext uri="{FF2B5EF4-FFF2-40B4-BE49-F238E27FC236}">
              <a16:creationId xmlns:a16="http://schemas.microsoft.com/office/drawing/2014/main" xmlns="" id="{79B44DEA-896B-4B2D-99A5-C237ECEA01B2}"/>
            </a:ext>
          </a:extLst>
        </cdr:cNvPr>
        <cdr:cNvCxnSpPr/>
      </cdr:nvCxnSpPr>
      <cdr:spPr>
        <a:xfrm xmlns:a="http://schemas.openxmlformats.org/drawingml/2006/main" flipV="1">
          <a:off x="279752" y="830270"/>
          <a:ext cx="0" cy="2240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0.84508</cdr:x>
      <cdr:y>0.7096</cdr:y>
    </cdr:from>
    <cdr:to>
      <cdr:x>0.91441</cdr:x>
      <cdr:y>0.7934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xmlns="" id="{F8A039BB-6039-4068-848A-E90F4D769201}"/>
            </a:ext>
          </a:extLst>
        </cdr:cNvPr>
        <cdr:cNvSpPr/>
      </cdr:nvSpPr>
      <cdr:spPr>
        <a:xfrm xmlns:a="http://schemas.openxmlformats.org/drawingml/2006/main">
          <a:off x="5473597" y="1958872"/>
          <a:ext cx="449036" cy="2313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0.86078</cdr:x>
      <cdr:y>0.68384</cdr:y>
    </cdr:from>
    <cdr:to>
      <cdr:x>0.9145</cdr:x>
      <cdr:y>0.78045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EB5429A6-4AF3-4A88-99F2-E1B9AD7704AF}"/>
            </a:ext>
          </a:extLst>
        </cdr:cNvPr>
        <cdr:cNvSpPr txBox="1"/>
      </cdr:nvSpPr>
      <cdr:spPr>
        <a:xfrm xmlns:a="http://schemas.openxmlformats.org/drawingml/2006/main">
          <a:off x="5575300" y="1887764"/>
          <a:ext cx="347905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cdr:txBody>
    </cdr:sp>
  </cdr:relSizeAnchor>
  <cdr:relSizeAnchor xmlns:cdr="http://schemas.openxmlformats.org/drawingml/2006/chartDrawing">
    <cdr:from>
      <cdr:x>0.06567</cdr:x>
      <cdr:y>0.22161</cdr:y>
    </cdr:from>
    <cdr:to>
      <cdr:x>0.11819</cdr:x>
      <cdr:y>0.29062</cdr:y>
    </cdr:to>
    <cdr:sp macro="" textlink="">
      <cdr:nvSpPr>
        <cdr:cNvPr id="12" name="Rechteck 11">
          <a:extLst xmlns:a="http://schemas.openxmlformats.org/drawingml/2006/main">
            <a:ext uri="{FF2B5EF4-FFF2-40B4-BE49-F238E27FC236}">
              <a16:creationId xmlns:a16="http://schemas.microsoft.com/office/drawing/2014/main" xmlns="" id="{997B34C0-9BC6-4CE8-A137-FF226C69E8B7}"/>
            </a:ext>
          </a:extLst>
        </cdr:cNvPr>
        <cdr:cNvSpPr/>
      </cdr:nvSpPr>
      <cdr:spPr>
        <a:xfrm xmlns:a="http://schemas.openxmlformats.org/drawingml/2006/main">
          <a:off x="425347" y="611765"/>
          <a:ext cx="340179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0.06247</cdr:x>
      <cdr:y>0.20571</cdr:y>
    </cdr:from>
    <cdr:to>
      <cdr:x>0.13092</cdr:x>
      <cdr:y>0.30232</cdr:y>
    </cdr:to>
    <cdr:sp macro="" textlink="">
      <cdr:nvSpPr>
        <cdr:cNvPr id="13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423F7685-19E7-47BF-86D7-734F4E0FB0C2}"/>
            </a:ext>
          </a:extLst>
        </cdr:cNvPr>
        <cdr:cNvSpPr txBox="1"/>
      </cdr:nvSpPr>
      <cdr:spPr>
        <a:xfrm xmlns:a="http://schemas.openxmlformats.org/drawingml/2006/main">
          <a:off x="404586" y="567872"/>
          <a:ext cx="443360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m/s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0.0376</cdr:x>
      <cdr:y>0.30672</cdr:y>
    </cdr:from>
    <cdr:to>
      <cdr:x>0.0376</cdr:x>
      <cdr:y>0.3879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F38B3284-5D08-4B04-AD35-DF24B7D5045B}"/>
            </a:ext>
          </a:extLst>
        </cdr:cNvPr>
        <cdr:cNvCxnSpPr/>
      </cdr:nvCxnSpPr>
      <cdr:spPr>
        <a:xfrm xmlns:a="http://schemas.openxmlformats.org/drawingml/2006/main" flipV="1">
          <a:off x="206553" y="846698"/>
          <a:ext cx="0" cy="22411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0.56275</cdr:x>
      <cdr:y>0.81211</cdr:y>
    </cdr:from>
    <cdr:to>
      <cdr:x>0.60598</cdr:x>
      <cdr:y>0.81211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xmlns="" id="{77EF6C7A-7618-481B-814F-CDBB27DD1995}"/>
            </a:ext>
          </a:extLst>
        </cdr:cNvPr>
        <cdr:cNvCxnSpPr/>
      </cdr:nvCxnSpPr>
      <cdr:spPr>
        <a:xfrm xmlns:a="http://schemas.openxmlformats.org/drawingml/2006/main">
          <a:off x="3091267" y="2241836"/>
          <a:ext cx="237482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0.58076</cdr:x>
      <cdr:y>0.80052</cdr:y>
    </cdr:from>
    <cdr:to>
      <cdr:x>0.62399</cdr:x>
      <cdr:y>0.80052</cdr:y>
    </cdr:to>
    <cdr:cxnSp macro="">
      <cdr:nvCxnSpPr>
        <cdr:cNvPr id="2" name="Gerade Verbindung mit Pfeil 1">
          <a:extLst xmlns:a="http://schemas.openxmlformats.org/drawingml/2006/main">
            <a:ext uri="{FF2B5EF4-FFF2-40B4-BE49-F238E27FC236}">
              <a16:creationId xmlns:a16="http://schemas.microsoft.com/office/drawing/2014/main" xmlns="" id="{77EF6C7A-7618-481B-814F-CDBB27DD1995}"/>
            </a:ext>
          </a:extLst>
        </cdr:cNvPr>
        <cdr:cNvCxnSpPr/>
      </cdr:nvCxnSpPr>
      <cdr:spPr>
        <a:xfrm xmlns:a="http://schemas.openxmlformats.org/drawingml/2006/main">
          <a:off x="3194303" y="2195997"/>
          <a:ext cx="237776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0.05501</cdr:x>
      <cdr:y>0.25365</cdr:y>
    </cdr:from>
    <cdr:to>
      <cdr:x>0.05501</cdr:x>
      <cdr:y>0.33534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xmlns="" id="{79B44DEA-896B-4B2D-99A5-C237ECEA01B2}"/>
            </a:ext>
          </a:extLst>
        </cdr:cNvPr>
        <cdr:cNvCxnSpPr/>
      </cdr:nvCxnSpPr>
      <cdr:spPr>
        <a:xfrm xmlns:a="http://schemas.openxmlformats.org/drawingml/2006/main" flipV="1">
          <a:off x="302164" y="695801"/>
          <a:ext cx="0" cy="2240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0.07166</cdr:x>
      <cdr:y>0.12525</cdr:y>
    </cdr:from>
    <cdr:to>
      <cdr:x>0.12674</cdr:x>
      <cdr:y>0.1947</cdr:y>
    </cdr:to>
    <cdr:sp macro="" textlink="">
      <cdr:nvSpPr>
        <cdr:cNvPr id="4" name="Rechteck 3">
          <a:extLst xmlns:a="http://schemas.openxmlformats.org/drawingml/2006/main">
            <a:ext uri="{FF2B5EF4-FFF2-40B4-BE49-F238E27FC236}">
              <a16:creationId xmlns:a16="http://schemas.microsoft.com/office/drawing/2014/main" xmlns="" id="{24E0041E-D86B-4141-B30D-45EA47C0F806}"/>
            </a:ext>
          </a:extLst>
        </cdr:cNvPr>
        <cdr:cNvSpPr/>
      </cdr:nvSpPr>
      <cdr:spPr>
        <a:xfrm xmlns:a="http://schemas.openxmlformats.org/drawingml/2006/main">
          <a:off x="393657" y="343589"/>
          <a:ext cx="302559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0.84278</cdr:x>
      <cdr:y>0.71349</cdr:y>
    </cdr:from>
    <cdr:to>
      <cdr:x>0.91214</cdr:x>
      <cdr:y>0.77885</cdr:y>
    </cdr:to>
    <cdr:sp macro="" textlink="">
      <cdr:nvSpPr>
        <cdr:cNvPr id="5" name="Rechteck 4">
          <a:extLst xmlns:a="http://schemas.openxmlformats.org/drawingml/2006/main">
            <a:ext uri="{FF2B5EF4-FFF2-40B4-BE49-F238E27FC236}">
              <a16:creationId xmlns:a16="http://schemas.microsoft.com/office/drawing/2014/main" xmlns="" id="{7C05AD1B-146A-4DDB-92FB-F98AE5A91C97}"/>
            </a:ext>
          </a:extLst>
        </cdr:cNvPr>
        <cdr:cNvSpPr/>
      </cdr:nvSpPr>
      <cdr:spPr>
        <a:xfrm xmlns:a="http://schemas.openxmlformats.org/drawingml/2006/main">
          <a:off x="4629481" y="1957236"/>
          <a:ext cx="381000" cy="1792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0.07045</cdr:x>
      <cdr:y>0.10022</cdr:y>
    </cdr:from>
    <cdr:to>
      <cdr:x>0.15115</cdr:x>
      <cdr:y>0.19743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31D31EB8-D3FE-496B-B879-9AF104FB250C}"/>
            </a:ext>
          </a:extLst>
        </cdr:cNvPr>
        <cdr:cNvSpPr txBox="1"/>
      </cdr:nvSpPr>
      <cdr:spPr>
        <a:xfrm xmlns:a="http://schemas.openxmlformats.org/drawingml/2006/main">
          <a:off x="386976" y="274918"/>
          <a:ext cx="443286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 -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0.84972</cdr:x>
      <cdr:y>0.68437</cdr:y>
    </cdr:from>
    <cdr:to>
      <cdr:x>0.91287</cdr:x>
      <cdr:y>0.78158</cdr:y>
    </cdr:to>
    <cdr:sp macro="" textlink="">
      <cdr:nvSpPr>
        <cdr:cNvPr id="15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357F2F8A-3502-4729-95F7-AFBD838DE1C8}"/>
            </a:ext>
          </a:extLst>
        </cdr:cNvPr>
        <cdr:cNvSpPr txBox="1"/>
      </cdr:nvSpPr>
      <cdr:spPr>
        <a:xfrm xmlns:a="http://schemas.openxmlformats.org/drawingml/2006/main">
          <a:off x="4667623" y="1877359"/>
          <a:ext cx="346905" cy="266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nbn-resolving.de/urn:nbn:de:gbv:18302-aero2018-02-28.018" TargetMode="External"/><Relationship Id="rId2" Type="http://schemas.openxmlformats.org/officeDocument/2006/relationships/hyperlink" Target="https://doi.org/10.7910/DVN/MX3K1B" TargetMode="External"/><Relationship Id="rId1" Type="http://schemas.openxmlformats.org/officeDocument/2006/relationships/hyperlink" Target="http://www.gnu.org/licenses/gpl.html" TargetMode="External"/><Relationship Id="rId4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Normal="100" workbookViewId="0">
      <selection activeCell="A2" sqref="A2"/>
    </sheetView>
  </sheetViews>
  <sheetFormatPr baseColWidth="10" defaultRowHeight="15"/>
  <cols>
    <col min="2" max="2" width="12.42578125" customWidth="1"/>
    <col min="3" max="3" width="12.140625" bestFit="1" customWidth="1"/>
    <col min="5" max="15" width="13.85546875" bestFit="1" customWidth="1"/>
    <col min="16" max="16" width="14.85546875" bestFit="1" customWidth="1"/>
    <col min="20" max="20" width="13.28515625" bestFit="1" customWidth="1"/>
  </cols>
  <sheetData>
    <row r="1" spans="1:24" ht="20.25">
      <c r="A1" s="60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thickBot="1">
      <c r="A4" s="8" t="s">
        <v>8</v>
      </c>
      <c r="B4" s="8"/>
      <c r="C4" s="8"/>
      <c r="D4" s="9" t="s">
        <v>11</v>
      </c>
      <c r="E4" s="31"/>
      <c r="F4" s="8">
        <v>0</v>
      </c>
      <c r="G4" s="8">
        <v>1000</v>
      </c>
      <c r="H4" s="8">
        <v>2000</v>
      </c>
      <c r="I4" s="8">
        <v>3000</v>
      </c>
      <c r="J4" s="8">
        <v>4000</v>
      </c>
      <c r="K4" s="8">
        <v>5000</v>
      </c>
      <c r="L4" s="8">
        <v>6000</v>
      </c>
      <c r="M4" s="8">
        <v>7000</v>
      </c>
      <c r="N4" s="8">
        <v>8000</v>
      </c>
      <c r="O4" s="8">
        <v>9000</v>
      </c>
      <c r="P4" s="8">
        <v>10000</v>
      </c>
      <c r="Q4" s="8">
        <v>11000</v>
      </c>
      <c r="R4" s="2"/>
      <c r="S4" s="2"/>
      <c r="T4" s="2"/>
      <c r="U4" s="2"/>
      <c r="V4" s="2"/>
      <c r="W4" s="2"/>
      <c r="X4" s="2"/>
    </row>
    <row r="5" spans="1:24">
      <c r="A5" s="6"/>
      <c r="B5" s="6"/>
      <c r="C5" s="6"/>
      <c r="D5" s="20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2"/>
      <c r="S5" s="2"/>
      <c r="T5" s="2"/>
      <c r="U5" s="2"/>
      <c r="V5" s="2"/>
      <c r="W5" s="2"/>
      <c r="X5" s="2"/>
    </row>
    <row r="6" spans="1:24">
      <c r="A6" s="2" t="s">
        <v>14</v>
      </c>
      <c r="B6" s="2"/>
      <c r="C6" s="2"/>
      <c r="D6" s="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  <c r="R6" s="2"/>
      <c r="S6" s="2"/>
      <c r="T6" s="2"/>
      <c r="U6" s="2"/>
      <c r="V6" s="2"/>
      <c r="W6" s="2"/>
      <c r="X6" s="2"/>
    </row>
    <row r="7" spans="1:24">
      <c r="A7" s="2"/>
      <c r="B7" s="2" t="s">
        <v>53</v>
      </c>
      <c r="C7" s="2"/>
      <c r="D7" s="9" t="s">
        <v>58</v>
      </c>
      <c r="F7" s="4">
        <f>Bräunling!F33</f>
        <v>89592.738938765062</v>
      </c>
      <c r="G7" s="4">
        <f>Bräunling!G33</f>
        <v>83238.766395522325</v>
      </c>
      <c r="H7" s="4">
        <f>Bräunling!H33</f>
        <v>77327.164662807467</v>
      </c>
      <c r="I7" s="4">
        <f>Bräunling!I33</f>
        <v>71881.951478624644</v>
      </c>
      <c r="J7" s="4">
        <f>Bräunling!J33</f>
        <v>66920.976957730672</v>
      </c>
      <c r="K7" s="4">
        <f>Bräunling!K33</f>
        <v>62456.829512515644</v>
      </c>
      <c r="L7" s="4">
        <f>Bräunling!L33</f>
        <v>58497.292318856707</v>
      </c>
      <c r="M7" s="4">
        <f>Bräunling!M33</f>
        <v>55045.366510606189</v>
      </c>
      <c r="N7" s="4">
        <f>Bräunling!N33</f>
        <v>52098.881692030525</v>
      </c>
      <c r="O7" s="4">
        <f>Bräunling!O33</f>
        <v>49649.751449276861</v>
      </c>
      <c r="P7" s="4">
        <f>Bräunling!P33</f>
        <v>47683.003742009896</v>
      </c>
      <c r="Q7" s="4">
        <f>Bräunling!Q33</f>
        <v>46175.813035691186</v>
      </c>
      <c r="R7" s="2"/>
      <c r="S7" s="2"/>
      <c r="T7" s="2"/>
      <c r="U7" s="2"/>
      <c r="V7" s="2"/>
      <c r="W7" s="2"/>
      <c r="X7" s="2"/>
    </row>
    <row r="8" spans="1:24">
      <c r="A8" s="2"/>
      <c r="B8" s="2" t="s">
        <v>54</v>
      </c>
      <c r="C8" s="2"/>
      <c r="D8" s="9" t="s">
        <v>58</v>
      </c>
      <c r="F8" s="4">
        <f>Scholz!F33</f>
        <v>71470.89419604119</v>
      </c>
      <c r="G8" s="4">
        <f>Scholz!G33</f>
        <v>67876.902041690279</v>
      </c>
      <c r="H8" s="4">
        <f>Scholz!H33</f>
        <v>64549.618555769885</v>
      </c>
      <c r="I8" s="4">
        <f>Scholz!I33</f>
        <v>61487.26824996261</v>
      </c>
      <c r="J8" s="4">
        <f>Scholz!J33</f>
        <v>58688.008431515576</v>
      </c>
      <c r="K8" s="4">
        <f>Scholz!K33</f>
        <v>56149.783343715462</v>
      </c>
      <c r="L8" s="4">
        <f>Scholz!L33</f>
        <v>53870.139529214888</v>
      </c>
      <c r="M8" s="4">
        <f>Scholz!M33</f>
        <v>51846.001507626017</v>
      </c>
      <c r="N8" s="4">
        <f>Scholz!N33</f>
        <v>50073.411238040317</v>
      </c>
      <c r="O8" s="4">
        <f>Scholz!O33</f>
        <v>48547.241025127551</v>
      </c>
      <c r="P8" s="4">
        <f>Scholz!P33</f>
        <v>47260.897209747753</v>
      </c>
      <c r="Q8" s="4">
        <f>Scholz!Q33</f>
        <v>46206.040196675909</v>
      </c>
      <c r="R8" s="2"/>
      <c r="S8" s="2"/>
      <c r="T8" s="2"/>
      <c r="U8" s="2"/>
      <c r="V8" s="2"/>
      <c r="W8" s="2"/>
      <c r="X8" s="2"/>
    </row>
    <row r="9" spans="1:24">
      <c r="A9" s="2"/>
      <c r="B9" s="2" t="s">
        <v>86</v>
      </c>
      <c r="C9" s="2"/>
      <c r="D9" s="9" t="s">
        <v>58</v>
      </c>
      <c r="F9" s="4">
        <f>Howe!F33</f>
        <v>88519.340337864254</v>
      </c>
      <c r="G9" s="4">
        <f>Howe!G33</f>
        <v>83740.838640337373</v>
      </c>
      <c r="H9" s="4">
        <f>Howe!H33</f>
        <v>79242.710135333793</v>
      </c>
      <c r="I9" s="4">
        <f>Howe!I33</f>
        <v>75023.570624088767</v>
      </c>
      <c r="J9" s="4">
        <f>Howe!J33</f>
        <v>71082.287216619356</v>
      </c>
      <c r="K9" s="4">
        <f>Howe!K33</f>
        <v>67417.941697225644</v>
      </c>
      <c r="L9" s="4">
        <f>Howe!L33</f>
        <v>64029.769542518654</v>
      </c>
      <c r="M9" s="4">
        <f>Howe!M33</f>
        <v>60917.067490001966</v>
      </c>
      <c r="N9" s="4">
        <f>Howe!N33</f>
        <v>58079.061955635058</v>
      </c>
      <c r="O9" s="4">
        <f>Howe!O33</f>
        <v>55514.730789172892</v>
      </c>
      <c r="P9" s="4">
        <f>Howe!P33</f>
        <v>53222.572392560272</v>
      </c>
      <c r="Q9" s="4">
        <f>Howe!Q33</f>
        <v>51200.319763223393</v>
      </c>
      <c r="R9" s="2"/>
      <c r="S9" s="2"/>
      <c r="T9" s="2"/>
      <c r="U9" s="2"/>
      <c r="V9" s="2"/>
      <c r="W9" s="2"/>
      <c r="X9" s="2"/>
    </row>
    <row r="10" spans="1:24">
      <c r="A10" s="2"/>
      <c r="B10" s="2"/>
      <c r="C10" s="2"/>
      <c r="D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"/>
      <c r="R10" s="2"/>
      <c r="S10" s="2"/>
      <c r="T10" s="2"/>
      <c r="U10" s="2"/>
      <c r="V10" s="2"/>
      <c r="W10" s="2"/>
      <c r="X10" s="2"/>
    </row>
    <row r="11" spans="1:24" ht="16.5">
      <c r="A11" s="2" t="s">
        <v>107</v>
      </c>
      <c r="B11" s="2"/>
      <c r="C11" s="2"/>
      <c r="D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"/>
      <c r="S11" s="2"/>
      <c r="T11" s="2"/>
      <c r="U11" s="2"/>
      <c r="V11" s="2"/>
      <c r="W11" s="2"/>
      <c r="X11" s="2"/>
    </row>
    <row r="12" spans="1:24">
      <c r="A12" s="2"/>
      <c r="B12" s="2" t="s">
        <v>53</v>
      </c>
      <c r="C12" s="2"/>
      <c r="D12" s="9" t="s">
        <v>56</v>
      </c>
      <c r="F12" s="30">
        <f>Bräunling!F44</f>
        <v>235.78161669639826</v>
      </c>
      <c r="G12" s="30">
        <f>Bräunling!G44</f>
        <v>237.14352884172152</v>
      </c>
      <c r="H12" s="30">
        <f>Bräunling!H44</f>
        <v>238.47041809514459</v>
      </c>
      <c r="I12" s="30">
        <f>Bräunling!I44</f>
        <v>239.80480181949304</v>
      </c>
      <c r="J12" s="30">
        <f>Bräunling!J44</f>
        <v>241.19542888470377</v>
      </c>
      <c r="K12" s="30">
        <f>Bräunling!K44</f>
        <v>242.69957270479651</v>
      </c>
      <c r="L12" s="30">
        <f>Bräunling!L44</f>
        <v>244.38551309726799</v>
      </c>
      <c r="M12" s="30">
        <f>Bräunling!M44</f>
        <v>246.33515658338104</v>
      </c>
      <c r="N12" s="30">
        <f>Bräunling!N44</f>
        <v>248.64666531265965</v>
      </c>
      <c r="O12" s="30">
        <f>Bräunling!O44</f>
        <v>251.43688360116144</v>
      </c>
      <c r="P12" s="30">
        <f>Bräunling!P44</f>
        <v>254.84329832157792</v>
      </c>
      <c r="Q12" s="30">
        <f>Bräunling!Q44</f>
        <v>259.02529278107613</v>
      </c>
      <c r="R12" s="2"/>
      <c r="S12" s="2"/>
      <c r="T12" s="2"/>
      <c r="U12" s="2"/>
      <c r="V12" s="2"/>
      <c r="W12" s="2"/>
      <c r="X12" s="2"/>
    </row>
    <row r="13" spans="1:24">
      <c r="A13" s="2"/>
      <c r="B13" s="2" t="s">
        <v>54</v>
      </c>
      <c r="C13" s="2"/>
      <c r="D13" s="9" t="s">
        <v>56</v>
      </c>
      <c r="F13" s="30">
        <f>Scholz!F44</f>
        <v>205.80866906464479</v>
      </c>
      <c r="G13" s="30">
        <f>Scholz!G44</f>
        <v>208.96442628532887</v>
      </c>
      <c r="H13" s="30">
        <f>Scholz!H44</f>
        <v>212.33163915114892</v>
      </c>
      <c r="I13" s="30">
        <f>Scholz!I44</f>
        <v>215.93974948951725</v>
      </c>
      <c r="J13" s="30">
        <f>Scholz!J44</f>
        <v>219.82353482685119</v>
      </c>
      <c r="K13" s="30">
        <f>Scholz!K44</f>
        <v>224.02410157846438</v>
      </c>
      <c r="L13" s="30">
        <f>Scholz!L44</f>
        <v>228.59003463911807</v>
      </c>
      <c r="M13" s="30">
        <f>Scholz!M44</f>
        <v>233.57871654797259</v>
      </c>
      <c r="N13" s="30">
        <f>Scholz!N44</f>
        <v>239.05782914623362</v>
      </c>
      <c r="O13" s="30">
        <f>Scholz!O44</f>
        <v>245.10705269332848</v>
      </c>
      <c r="P13" s="30">
        <f>Scholz!P44</f>
        <v>251.81998424129625</v>
      </c>
      <c r="Q13" s="30">
        <f>Scholz!Q44</f>
        <v>259.30631196424622</v>
      </c>
      <c r="R13" s="2"/>
      <c r="S13" s="2"/>
      <c r="T13" s="2"/>
      <c r="U13" s="2"/>
      <c r="V13" s="2"/>
      <c r="W13" s="2"/>
      <c r="X13" s="2"/>
    </row>
    <row r="14" spans="1:24">
      <c r="A14" s="2"/>
      <c r="B14" s="2" t="s">
        <v>86</v>
      </c>
      <c r="C14" s="2"/>
      <c r="D14" s="9" t="s">
        <v>56</v>
      </c>
      <c r="F14" s="30">
        <f>Howe!F44</f>
        <v>234.15060136822007</v>
      </c>
      <c r="G14" s="30">
        <f>Howe!G44</f>
        <v>237.98533057971289</v>
      </c>
      <c r="H14" s="30">
        <f>Howe!H44</f>
        <v>242.03063094913048</v>
      </c>
      <c r="I14" s="30">
        <f>Howe!I44</f>
        <v>246.31098241066596</v>
      </c>
      <c r="J14" s="30">
        <f>Howe!J44</f>
        <v>250.85515794527311</v>
      </c>
      <c r="K14" s="30">
        <f>Howe!K44</f>
        <v>255.69711805421258</v>
      </c>
      <c r="L14" s="30">
        <f>Howe!L44</f>
        <v>260.87709654029777</v>
      </c>
      <c r="M14" s="30">
        <f>Howe!M44</f>
        <v>266.44291373431258</v>
      </c>
      <c r="N14" s="30">
        <f>Howe!N44</f>
        <v>272.45155745221939</v>
      </c>
      <c r="O14" s="30">
        <f>Howe!O44</f>
        <v>278.97107577942006</v>
      </c>
      <c r="P14" s="30">
        <f>Howe!P44</f>
        <v>286.08282940244226</v>
      </c>
      <c r="Q14" s="30">
        <f>Howe!Q44</f>
        <v>293.88415544774477</v>
      </c>
      <c r="R14" s="2"/>
      <c r="S14" s="2"/>
      <c r="T14" s="2"/>
      <c r="U14" s="2"/>
      <c r="V14" s="2"/>
      <c r="W14" s="2"/>
      <c r="X14" s="2"/>
    </row>
    <row r="15" spans="1:24">
      <c r="A15" s="2"/>
      <c r="B15" s="2"/>
      <c r="C15" s="2"/>
      <c r="D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2"/>
      <c r="V15" s="2"/>
      <c r="W15" s="2"/>
      <c r="X15" s="2"/>
    </row>
    <row r="16" spans="1:24">
      <c r="A16" s="2" t="s">
        <v>20</v>
      </c>
      <c r="B16" s="2"/>
      <c r="C16" s="2"/>
      <c r="D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2"/>
      <c r="V16" s="2"/>
      <c r="W16" s="2"/>
      <c r="X16" s="2"/>
    </row>
    <row r="17" spans="1:24">
      <c r="B17" s="2" t="s">
        <v>53</v>
      </c>
      <c r="C17" s="2"/>
      <c r="D17" s="9" t="s">
        <v>58</v>
      </c>
      <c r="F17" s="4">
        <f>Bräunling!F46</f>
        <v>245466.09590388165</v>
      </c>
      <c r="G17" s="4">
        <f>Bräunling!G46</f>
        <v>224337.07280394292</v>
      </c>
      <c r="H17" s="4">
        <f>Bräunling!H46</f>
        <v>204279.1875288033</v>
      </c>
      <c r="I17" s="4">
        <f>Bräunling!I46</f>
        <v>185335.91516841698</v>
      </c>
      <c r="J17" s="4">
        <f>Bräunling!J46</f>
        <v>167530.59099670497</v>
      </c>
      <c r="K17" s="4">
        <f>Bräunling!K46</f>
        <v>150870.22172460365</v>
      </c>
      <c r="L17" s="4">
        <f>Bräunling!L46</f>
        <v>135348.54233053463</v>
      </c>
      <c r="M17" s="4">
        <f>Bräunling!M46</f>
        <v>120948.50419795144</v>
      </c>
      <c r="N17" s="4">
        <f>Bräunling!N46</f>
        <v>107644.32621721289</v>
      </c>
      <c r="O17" s="4">
        <f>Bräunling!O46</f>
        <v>95403.204142991613</v>
      </c>
      <c r="P17" s="4">
        <f>Bräunling!P46</f>
        <v>84186.74847618182</v>
      </c>
      <c r="Q17" s="4">
        <f>Bräunling!Q46</f>
        <v>73952.20356609876</v>
      </c>
      <c r="R17" s="2"/>
      <c r="S17" s="2"/>
      <c r="T17" s="2"/>
      <c r="U17" s="2"/>
      <c r="V17" s="2"/>
      <c r="W17" s="2"/>
      <c r="X17" s="2"/>
    </row>
    <row r="18" spans="1:24">
      <c r="A18" s="2"/>
      <c r="B18" s="2" t="s">
        <v>54</v>
      </c>
      <c r="C18" s="2"/>
      <c r="D18" s="9" t="s">
        <v>58</v>
      </c>
      <c r="F18" s="4">
        <f>Scholz!F46</f>
        <v>183815.99999999997</v>
      </c>
      <c r="G18" s="4">
        <f>Scholz!G46</f>
        <v>170945.12444918143</v>
      </c>
      <c r="H18" s="4">
        <f>Scholz!H46</f>
        <v>158706.23039686226</v>
      </c>
      <c r="I18" s="4">
        <f>Scholz!I46</f>
        <v>147082.12037784918</v>
      </c>
      <c r="J18" s="4">
        <f>Scholz!J46</f>
        <v>136055.67056365879</v>
      </c>
      <c r="K18" s="4">
        <f>Scholz!K46</f>
        <v>125609.83221795299</v>
      </c>
      <c r="L18" s="4">
        <f>Scholz!L46</f>
        <v>115727.63321748727</v>
      </c>
      <c r="M18" s="4">
        <f>Scholz!M46</f>
        <v>106392.17964326037</v>
      </c>
      <c r="N18" s="4">
        <f>Scholz!N46</f>
        <v>97586.657447018137</v>
      </c>
      <c r="O18" s="4">
        <f>Scholz!O46</f>
        <v>89294.334198793644</v>
      </c>
      <c r="P18" s="4">
        <f>Scholz!P46</f>
        <v>81498.560921759927</v>
      </c>
      <c r="Q18" s="4">
        <f>Scholz!Q46</f>
        <v>74182.774021348916</v>
      </c>
      <c r="R18" s="2"/>
      <c r="S18" s="2"/>
      <c r="T18" s="2"/>
      <c r="U18" s="2"/>
      <c r="V18" s="2"/>
      <c r="W18" s="2"/>
      <c r="X18" s="2"/>
    </row>
    <row r="19" spans="1:24">
      <c r="B19" s="2" t="s">
        <v>86</v>
      </c>
      <c r="C19" s="2"/>
      <c r="D19" s="9" t="s">
        <v>58</v>
      </c>
      <c r="F19" s="4">
        <f>Howe!F46</f>
        <v>241920</v>
      </c>
      <c r="G19" s="4">
        <f>Howe!G46</f>
        <v>226022.51480378181</v>
      </c>
      <c r="H19" s="4">
        <f>Howe!H46</f>
        <v>210834.81844347925</v>
      </c>
      <c r="I19" s="4">
        <f>Howe!I46</f>
        <v>196340.86815487727</v>
      </c>
      <c r="J19" s="4">
        <f>Howe!J46</f>
        <v>182524.61325545775</v>
      </c>
      <c r="K19" s="4">
        <f>Howe!K46</f>
        <v>169369.99494868683</v>
      </c>
      <c r="L19" s="4">
        <f>Howe!L46</f>
        <v>156860.94611848658</v>
      </c>
      <c r="M19" s="4">
        <f>Howe!M46</f>
        <v>144981.39111313675</v>
      </c>
      <c r="N19" s="4">
        <f>Howe!N46</f>
        <v>133715.2455177723</v>
      </c>
      <c r="O19" s="4">
        <f>Howe!O46</f>
        <v>123046.41591455293</v>
      </c>
      <c r="P19" s="4">
        <f>Howe!P46</f>
        <v>112958.79962947856</v>
      </c>
      <c r="Q19" s="4">
        <f>Howe!Q46</f>
        <v>103436.28446470638</v>
      </c>
      <c r="R19" s="2"/>
      <c r="S19" s="2"/>
      <c r="T19" s="2"/>
      <c r="U19" s="2"/>
      <c r="V19" s="2"/>
      <c r="W19" s="2"/>
      <c r="X19" s="2"/>
    </row>
    <row r="20" spans="1:24">
      <c r="A20" s="2"/>
      <c r="B20" s="2"/>
      <c r="C20" s="2"/>
      <c r="D20" s="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</row>
    <row r="21" spans="1:24">
      <c r="A21" s="2" t="s">
        <v>21</v>
      </c>
      <c r="B21" s="2"/>
      <c r="C21" s="2"/>
      <c r="D21" s="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  <c r="U21" s="2"/>
      <c r="V21" s="2"/>
      <c r="W21" s="2"/>
      <c r="X21" s="2"/>
    </row>
    <row r="22" spans="1:24">
      <c r="A22" s="2"/>
      <c r="B22" s="2" t="s">
        <v>53</v>
      </c>
      <c r="C22" s="2"/>
      <c r="D22" s="9" t="s">
        <v>12</v>
      </c>
      <c r="F22" s="4">
        <f>Bräunling!F59</f>
        <v>735204.86237360083</v>
      </c>
      <c r="G22" s="4">
        <f>Bräunling!G59</f>
        <v>734974.44480473478</v>
      </c>
      <c r="H22" s="4">
        <f>Bräunling!H59</f>
        <v>734744.13554024801</v>
      </c>
      <c r="I22" s="4">
        <f>Bräunling!I59</f>
        <v>734513.93451227539</v>
      </c>
      <c r="J22" s="4">
        <f>Bräunling!J59</f>
        <v>734283.84165300464</v>
      </c>
      <c r="K22" s="4">
        <f>Bräunling!K59</f>
        <v>734053.85689467716</v>
      </c>
      <c r="L22" s="4">
        <f>Bräunling!L59</f>
        <v>733823.98016958695</v>
      </c>
      <c r="M22" s="4">
        <f>Bräunling!M59</f>
        <v>733594.21141008078</v>
      </c>
      <c r="N22" s="4">
        <f>Bräunling!N59</f>
        <v>733364.55054855917</v>
      </c>
      <c r="O22" s="4">
        <f>Bräunling!O59</f>
        <v>733134.99751747458</v>
      </c>
      <c r="P22" s="4">
        <f>Bräunling!P59</f>
        <v>732905.55224933324</v>
      </c>
      <c r="Q22" s="4">
        <f>Bräunling!Q59</f>
        <v>732676.21467669355</v>
      </c>
      <c r="R22" s="2"/>
      <c r="S22" s="2"/>
      <c r="T22" s="2"/>
      <c r="U22" s="2"/>
      <c r="V22" s="2"/>
      <c r="W22" s="2"/>
      <c r="X22" s="2"/>
    </row>
    <row r="23" spans="1:24">
      <c r="A23" s="2"/>
      <c r="B23" s="2" t="s">
        <v>54</v>
      </c>
      <c r="C23" s="2"/>
      <c r="D23" s="9" t="s">
        <v>12</v>
      </c>
      <c r="F23" s="4">
        <f>Scholz!F54</f>
        <v>735204.86237360083</v>
      </c>
      <c r="G23" s="4">
        <f>Scholz!G54</f>
        <v>734974.44480473478</v>
      </c>
      <c r="H23" s="4">
        <f>Scholz!H54</f>
        <v>734744.13554024801</v>
      </c>
      <c r="I23" s="4">
        <f>Scholz!I54</f>
        <v>734513.93451227539</v>
      </c>
      <c r="J23" s="4">
        <f>Scholz!J54</f>
        <v>734283.84165300464</v>
      </c>
      <c r="K23" s="4">
        <f>Scholz!K54</f>
        <v>734053.85689467716</v>
      </c>
      <c r="L23" s="4">
        <f>Scholz!L54</f>
        <v>733823.98016958695</v>
      </c>
      <c r="M23" s="4">
        <f>Scholz!M54</f>
        <v>733594.21141008078</v>
      </c>
      <c r="N23" s="4">
        <f>Scholz!N54</f>
        <v>733364.55054855917</v>
      </c>
      <c r="O23" s="4">
        <f>Scholz!O54</f>
        <v>733134.99751747458</v>
      </c>
      <c r="P23" s="4">
        <f>Scholz!P54</f>
        <v>732905.55224933324</v>
      </c>
      <c r="Q23" s="4">
        <f>Scholz!Q54</f>
        <v>732676.21467669355</v>
      </c>
      <c r="R23" s="2"/>
      <c r="S23" s="2"/>
      <c r="T23" s="2"/>
      <c r="U23" s="2"/>
      <c r="V23" s="2"/>
      <c r="W23" s="2"/>
      <c r="X23" s="2"/>
    </row>
    <row r="24" spans="1:24" ht="15.75" thickBot="1">
      <c r="A24" s="13"/>
      <c r="B24" s="13" t="s">
        <v>86</v>
      </c>
      <c r="C24" s="13"/>
      <c r="D24" s="14" t="s">
        <v>12</v>
      </c>
      <c r="E24" s="32"/>
      <c r="F24" s="33">
        <f>Howe!F58</f>
        <v>735204.86237360083</v>
      </c>
      <c r="G24" s="33">
        <f>Howe!G58</f>
        <v>734974.44480473478</v>
      </c>
      <c r="H24" s="33">
        <f>Howe!H58</f>
        <v>734744.13554024801</v>
      </c>
      <c r="I24" s="33">
        <f>Howe!I58</f>
        <v>734513.93451227539</v>
      </c>
      <c r="J24" s="33">
        <f>Howe!J58</f>
        <v>734283.84165300464</v>
      </c>
      <c r="K24" s="33">
        <f>Howe!K58</f>
        <v>734053.85689467716</v>
      </c>
      <c r="L24" s="33">
        <f>Howe!L58</f>
        <v>733823.98016958695</v>
      </c>
      <c r="M24" s="33">
        <f>Howe!M58</f>
        <v>733594.21141008078</v>
      </c>
      <c r="N24" s="33">
        <f>Howe!N58</f>
        <v>733364.55054855917</v>
      </c>
      <c r="O24" s="33">
        <f>Howe!O58</f>
        <v>733134.99751747458</v>
      </c>
      <c r="P24" s="33">
        <f>Howe!P58</f>
        <v>732905.55224933324</v>
      </c>
      <c r="Q24" s="33">
        <f>Howe!Q58</f>
        <v>732676.21467669355</v>
      </c>
      <c r="R24" s="2"/>
      <c r="S24" s="2"/>
      <c r="T24" s="2"/>
      <c r="U24" s="2"/>
      <c r="V24" s="2"/>
      <c r="W24" s="2"/>
      <c r="X24" s="2"/>
    </row>
    <row r="25" spans="1:24">
      <c r="A25" s="2"/>
      <c r="B25" s="2"/>
      <c r="C25" s="2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  <c r="R25" s="2"/>
      <c r="S25" s="2"/>
      <c r="T25" s="2"/>
      <c r="U25" s="2"/>
      <c r="V25" s="2"/>
      <c r="W25" s="2"/>
      <c r="X25" s="2"/>
    </row>
    <row r="26" spans="1:24">
      <c r="A26" s="2" t="s">
        <v>23</v>
      </c>
      <c r="B26" s="2"/>
      <c r="C26" s="2"/>
      <c r="D26" s="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2" t="s">
        <v>53</v>
      </c>
      <c r="C27" s="2"/>
      <c r="D27" s="9" t="s">
        <v>56</v>
      </c>
      <c r="E27" s="3"/>
      <c r="F27" s="28">
        <f>Bräunling!F62</f>
        <v>49.988886072483687</v>
      </c>
      <c r="G27" s="28">
        <f>Bräunling!G62</f>
        <v>45.526141122053602</v>
      </c>
      <c r="H27" s="28">
        <f>Bräunling!H62</f>
        <v>41.203870172598343</v>
      </c>
      <c r="I27" s="28">
        <f>Bräunling!I62</f>
        <v>37.040557026780171</v>
      </c>
      <c r="J27" s="28">
        <f>Bräunling!J62</f>
        <v>33.047954525904451</v>
      </c>
      <c r="K27" s="28">
        <f>Bräunling!K62</f>
        <v>29.232041095772274</v>
      </c>
      <c r="L27" s="28">
        <f>Bräunling!L62</f>
        <v>25.593783623601343</v>
      </c>
      <c r="M27" s="28">
        <f>Bräunling!M62</f>
        <v>22.129754418786334</v>
      </c>
      <c r="N27" s="28">
        <f>Bräunling!N62</f>
        <v>18.832638616313133</v>
      </c>
      <c r="O27" s="28">
        <f>Bräunling!O62</f>
        <v>15.691660605830783</v>
      </c>
      <c r="P27" s="28">
        <f>Bräunling!P62</f>
        <v>12.692951609650965</v>
      </c>
      <c r="Q27" s="28">
        <f>Bräunling!Q62</f>
        <v>9.8198734248731689</v>
      </c>
      <c r="R27" s="2"/>
      <c r="S27" s="2"/>
      <c r="T27" s="2"/>
      <c r="U27" s="2"/>
      <c r="V27" s="2"/>
      <c r="W27" s="2"/>
      <c r="X27" s="2"/>
    </row>
    <row r="28" spans="1:24">
      <c r="A28" s="2"/>
      <c r="B28" s="2"/>
      <c r="C28" s="2" t="s">
        <v>41</v>
      </c>
      <c r="D28" s="9" t="s">
        <v>56</v>
      </c>
      <c r="E28" s="3"/>
      <c r="F28" s="28">
        <f>Bräunling!F63</f>
        <v>49.988886072483687</v>
      </c>
      <c r="G28" s="28">
        <f>Bräunling!G63</f>
        <v>46.337157649973641</v>
      </c>
      <c r="H28" s="28">
        <f>Bräunling!H63</f>
        <v>42.685429227463594</v>
      </c>
      <c r="I28" s="28">
        <f>Bräunling!I63</f>
        <v>39.033700804953547</v>
      </c>
      <c r="J28" s="28">
        <f>Bräunling!J63</f>
        <v>35.3819723824435</v>
      </c>
      <c r="K28" s="28">
        <f>Bräunling!K63</f>
        <v>31.730243959933453</v>
      </c>
      <c r="L28" s="28">
        <f>Bräunling!L63</f>
        <v>28.078515537423407</v>
      </c>
      <c r="M28" s="28">
        <f>Bräunling!M63</f>
        <v>24.42678711491336</v>
      </c>
      <c r="N28" s="28">
        <f>Bräunling!N63</f>
        <v>20.775058692403313</v>
      </c>
      <c r="O28" s="28">
        <f>Bräunling!O63</f>
        <v>17.123330269893266</v>
      </c>
      <c r="P28" s="28">
        <f>Bräunling!P63</f>
        <v>13.471601847383219</v>
      </c>
      <c r="Q28" s="28">
        <f>Bräunling!Q63</f>
        <v>9.8198734248731689</v>
      </c>
      <c r="R28" s="2"/>
      <c r="S28" s="2"/>
      <c r="T28" s="2"/>
      <c r="U28" s="2"/>
      <c r="V28" s="2"/>
      <c r="W28" s="2"/>
      <c r="X28" s="2"/>
    </row>
    <row r="29" spans="1:24">
      <c r="A29" s="2"/>
      <c r="B29" s="2" t="s">
        <v>54</v>
      </c>
      <c r="C29" s="2"/>
      <c r="D29" s="9" t="s">
        <v>56</v>
      </c>
      <c r="E29" s="3"/>
      <c r="F29" s="28">
        <f>Scholz!F57</f>
        <v>31.449189042074121</v>
      </c>
      <c r="G29" s="28">
        <f>Scholz!G57</f>
        <v>29.303865074318463</v>
      </c>
      <c r="H29" s="28">
        <f>Scholz!H57</f>
        <v>27.210054169996809</v>
      </c>
      <c r="I29" s="28">
        <f>Scholz!I57</f>
        <v>25.164030330290753</v>
      </c>
      <c r="J29" s="28">
        <f>Scholz!J57</f>
        <v>23.16166039128807</v>
      </c>
      <c r="K29" s="28">
        <f>Scholz!K57</f>
        <v>21.198342462874571</v>
      </c>
      <c r="L29" s="28">
        <f>Scholz!L57</f>
        <v>19.268935067539562</v>
      </c>
      <c r="M29" s="28">
        <f>Scholz!M57</f>
        <v>17.367675594152701</v>
      </c>
      <c r="N29" s="28">
        <f>Scholz!N57</f>
        <v>15.488086362931805</v>
      </c>
      <c r="O29" s="28">
        <f>Scholz!O57</f>
        <v>13.62286611256706</v>
      </c>
      <c r="P29" s="28">
        <f>Scholz!P57</f>
        <v>11.763763980170543</v>
      </c>
      <c r="Q29" s="28">
        <f>Scholz!Q57</f>
        <v>9.9014319334530807</v>
      </c>
      <c r="R29" s="2"/>
      <c r="S29" s="2"/>
      <c r="T29" s="2"/>
      <c r="U29" s="2"/>
      <c r="V29" s="2"/>
      <c r="W29" s="2"/>
      <c r="X29" s="2"/>
    </row>
    <row r="30" spans="1:24">
      <c r="A30" s="2"/>
      <c r="B30" s="2"/>
      <c r="C30" s="2" t="s">
        <v>41</v>
      </c>
      <c r="D30" s="9" t="s">
        <v>56</v>
      </c>
      <c r="E30" s="3"/>
      <c r="F30" s="28">
        <f>Scholz!F58</f>
        <v>31.449189042074121</v>
      </c>
      <c r="G30" s="28">
        <f>Scholz!G58</f>
        <v>29.49030203219948</v>
      </c>
      <c r="H30" s="28">
        <f>Scholz!H58</f>
        <v>27.53141502232484</v>
      </c>
      <c r="I30" s="28">
        <f>Scholz!I58</f>
        <v>25.572528012450199</v>
      </c>
      <c r="J30" s="28">
        <f>Scholz!J58</f>
        <v>23.613641002575562</v>
      </c>
      <c r="K30" s="28">
        <f>Scholz!K58</f>
        <v>21.654753992700918</v>
      </c>
      <c r="L30" s="28">
        <f>Scholz!L58</f>
        <v>19.695866982826281</v>
      </c>
      <c r="M30" s="28">
        <f>Scholz!M58</f>
        <v>17.736979972951641</v>
      </c>
      <c r="N30" s="28">
        <f>Scholz!N58</f>
        <v>15.778092963077</v>
      </c>
      <c r="O30" s="28">
        <f>Scholz!O58</f>
        <v>13.81920595320236</v>
      </c>
      <c r="P30" s="28">
        <f>Scholz!P58</f>
        <v>11.860318943327719</v>
      </c>
      <c r="Q30" s="28">
        <f>Scholz!Q58</f>
        <v>9.9014319334530789</v>
      </c>
      <c r="R30" s="2"/>
      <c r="S30" s="2"/>
      <c r="T30" s="2"/>
      <c r="U30" s="2"/>
      <c r="V30" s="2"/>
      <c r="W30" s="2"/>
      <c r="X30" s="2"/>
    </row>
    <row r="31" spans="1:24">
      <c r="A31" s="2"/>
      <c r="B31" s="2" t="s">
        <v>86</v>
      </c>
      <c r="C31" s="2"/>
      <c r="D31" s="9" t="s">
        <v>56</v>
      </c>
      <c r="E31" s="3"/>
      <c r="F31" s="28">
        <f>Howe!F61</f>
        <v>48.855575565981859</v>
      </c>
      <c r="G31" s="28">
        <f>Howe!G61</f>
        <v>46.070923930136139</v>
      </c>
      <c r="H31" s="28">
        <f>Howe!H61</f>
        <v>43.347499437104538</v>
      </c>
      <c r="I31" s="28">
        <f>Howe!I61</f>
        <v>40.682390536344805</v>
      </c>
      <c r="J31" s="28">
        <f>Howe!J61</f>
        <v>38.072310344359096</v>
      </c>
      <c r="K31" s="28">
        <f>Howe!K61</f>
        <v>35.513533443430461</v>
      </c>
      <c r="L31" s="28">
        <f>Howe!L61</f>
        <v>33.001821237787205</v>
      </c>
      <c r="M31" s="28">
        <f>Howe!M61</f>
        <v>30.532333787366156</v>
      </c>
      <c r="N31" s="28">
        <f>Howe!N61</f>
        <v>28.099525666780583</v>
      </c>
      <c r="O31" s="28">
        <f>Howe!O61</f>
        <v>25.697022939046487</v>
      </c>
      <c r="P31" s="28">
        <f>Howe!P61</f>
        <v>23.317477747734397</v>
      </c>
      <c r="Q31" s="28">
        <f>Howe!Q61</f>
        <v>20.952396246502392</v>
      </c>
      <c r="R31" s="2"/>
      <c r="S31" s="2"/>
      <c r="T31" s="2"/>
      <c r="U31" s="2"/>
      <c r="V31" s="2"/>
      <c r="W31" s="2"/>
      <c r="X31" s="2"/>
    </row>
    <row r="32" spans="1:24">
      <c r="B32" s="2"/>
      <c r="C32" s="2" t="s">
        <v>41</v>
      </c>
      <c r="D32" s="9" t="s">
        <v>56</v>
      </c>
      <c r="E32" s="4"/>
      <c r="F32" s="28">
        <f>Howe!F62</f>
        <v>48.855575565981859</v>
      </c>
      <c r="G32" s="28">
        <f>Howe!G62</f>
        <v>46.318922900574634</v>
      </c>
      <c r="H32" s="28">
        <f>Howe!H62</f>
        <v>43.78227023516741</v>
      </c>
      <c r="I32" s="28">
        <f>Howe!I62</f>
        <v>41.245617569760185</v>
      </c>
      <c r="J32" s="28">
        <f>Howe!J62</f>
        <v>38.70896490435296</v>
      </c>
      <c r="K32" s="28">
        <f>Howe!K62</f>
        <v>36.172312238945736</v>
      </c>
      <c r="L32" s="28">
        <f>Howe!L62</f>
        <v>33.635659573538518</v>
      </c>
      <c r="M32" s="28">
        <f>Howe!M62</f>
        <v>31.09900690813129</v>
      </c>
      <c r="N32" s="28">
        <f>Howe!N62</f>
        <v>28.562354242724066</v>
      </c>
      <c r="O32" s="28">
        <f>Howe!O62</f>
        <v>26.025701577316841</v>
      </c>
      <c r="P32" s="28">
        <f>Howe!P62</f>
        <v>23.489048911909617</v>
      </c>
      <c r="Q32" s="28">
        <f>Howe!Q62</f>
        <v>20.952396246502396</v>
      </c>
      <c r="R32" s="2"/>
      <c r="S32" s="2"/>
      <c r="T32" s="2"/>
      <c r="U32" s="2"/>
      <c r="V32" s="2"/>
      <c r="W32" s="2"/>
      <c r="X32" s="2"/>
    </row>
    <row r="33" spans="1:24">
      <c r="A33" s="2"/>
      <c r="B33" s="2"/>
      <c r="C33" s="2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</row>
    <row r="34" spans="1:24">
      <c r="A34" s="2" t="s">
        <v>87</v>
      </c>
      <c r="B34" s="2"/>
      <c r="C34" s="2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2" t="s">
        <v>53</v>
      </c>
      <c r="C35" s="2"/>
      <c r="D35" s="9" t="s">
        <v>101</v>
      </c>
      <c r="E35" s="4"/>
      <c r="F35" s="28">
        <f>Bräunling!F65</f>
        <v>1</v>
      </c>
      <c r="G35" s="28">
        <f>Bräunling!G65</f>
        <v>0.91072525713097263</v>
      </c>
      <c r="H35" s="28">
        <f>Bräunling!H65</f>
        <v>0.82426061890742863</v>
      </c>
      <c r="I35" s="28">
        <f>Bräunling!I65</f>
        <v>0.74097584357193935</v>
      </c>
      <c r="J35" s="28">
        <f>Bräunling!J65</f>
        <v>0.66110604021031893</v>
      </c>
      <c r="K35" s="28">
        <f>Bräunling!K65</f>
        <v>0.58477080392201441</v>
      </c>
      <c r="L35" s="28">
        <f>Bräunling!L65</f>
        <v>0.51198947675070128</v>
      </c>
      <c r="M35" s="28">
        <f>Bräunling!M65</f>
        <v>0.44269348964284333</v>
      </c>
      <c r="N35" s="28">
        <f>Bräunling!N65</f>
        <v>0.37673651277217662</v>
      </c>
      <c r="O35" s="28">
        <f>Bräunling!O65</f>
        <v>0.31390298601729066</v>
      </c>
      <c r="P35" s="28">
        <f>Bräunling!P65</f>
        <v>0.25391547215607557</v>
      </c>
      <c r="Q35" s="28">
        <f>Bräunling!Q65</f>
        <v>0.1964411331477639</v>
      </c>
      <c r="R35" s="2"/>
      <c r="S35" s="2"/>
      <c r="T35" s="2"/>
      <c r="U35" s="2"/>
      <c r="V35" s="2"/>
      <c r="W35" s="2"/>
      <c r="X35" s="2"/>
    </row>
    <row r="36" spans="1:24">
      <c r="A36" s="2"/>
      <c r="B36" s="2"/>
      <c r="C36" s="2" t="s">
        <v>41</v>
      </c>
      <c r="D36" s="9" t="s">
        <v>101</v>
      </c>
      <c r="E36" s="4"/>
      <c r="F36" s="28">
        <f>Bräunling!F66</f>
        <v>1</v>
      </c>
      <c r="G36" s="28">
        <f>Bräunling!G66</f>
        <v>0.92694919392252395</v>
      </c>
      <c r="H36" s="28">
        <f>Bräunling!H66</f>
        <v>0.85389838784504801</v>
      </c>
      <c r="I36" s="28">
        <f>Bräunling!I66</f>
        <v>0.78084758176757196</v>
      </c>
      <c r="J36" s="28">
        <f>Bräunling!J66</f>
        <v>0.70779677569009603</v>
      </c>
      <c r="K36" s="28">
        <f>Bräunling!K66</f>
        <v>0.63474596961261998</v>
      </c>
      <c r="L36" s="28">
        <f>Bräunling!L66</f>
        <v>0.56169516353514393</v>
      </c>
      <c r="M36" s="28">
        <f>Bräunling!M66</f>
        <v>0.48864435745766799</v>
      </c>
      <c r="N36" s="28">
        <f>Bräunling!N66</f>
        <v>0.41559355138019194</v>
      </c>
      <c r="O36" s="28">
        <f>Bräunling!O66</f>
        <v>0.34254274530271589</v>
      </c>
      <c r="P36" s="28">
        <f>Bräunling!P66</f>
        <v>0.26949193922523995</v>
      </c>
      <c r="Q36" s="28">
        <f>Bräunling!Q66</f>
        <v>0.1964411331477639</v>
      </c>
      <c r="R36" s="2"/>
      <c r="S36" s="2"/>
      <c r="T36" s="2"/>
      <c r="U36" s="2"/>
      <c r="V36" s="2"/>
      <c r="W36" s="2"/>
      <c r="X36" s="2"/>
    </row>
    <row r="37" spans="1:24">
      <c r="A37" s="2"/>
      <c r="B37" s="2" t="s">
        <v>54</v>
      </c>
      <c r="C37" s="2"/>
      <c r="D37" s="9" t="s">
        <v>101</v>
      </c>
      <c r="E37" s="3"/>
      <c r="F37" s="28">
        <f>Scholz!F60</f>
        <v>1</v>
      </c>
      <c r="G37" s="28">
        <f>Scholz!G60</f>
        <v>0.93178444236239133</v>
      </c>
      <c r="H37" s="28">
        <f>Scholz!H60</f>
        <v>0.86520686220538123</v>
      </c>
      <c r="I37" s="28">
        <f>Scholz!I60</f>
        <v>0.80014878274365664</v>
      </c>
      <c r="J37" s="28">
        <f>Scholz!J60</f>
        <v>0.73647878043218773</v>
      </c>
      <c r="K37" s="28">
        <f>Scholz!K60</f>
        <v>0.6740505274878309</v>
      </c>
      <c r="L37" s="28">
        <f>Scholz!L60</f>
        <v>0.6127005386930876</v>
      </c>
      <c r="M37" s="28">
        <f>Scholz!M60</f>
        <v>0.55224557844456512</v>
      </c>
      <c r="N37" s="28">
        <f>Scholz!N60</f>
        <v>0.49247967387048219</v>
      </c>
      <c r="O37" s="28">
        <f>Scholz!O60</f>
        <v>0.43317066441178453</v>
      </c>
      <c r="P37" s="28">
        <f>Scholz!P60</f>
        <v>0.37405619472198337</v>
      </c>
      <c r="Q37" s="28">
        <f>Scholz!Q60</f>
        <v>0.31483902240552231</v>
      </c>
      <c r="R37" s="2"/>
      <c r="S37" s="2"/>
      <c r="T37" s="2"/>
      <c r="U37" s="2"/>
      <c r="V37" s="2"/>
      <c r="W37" s="2"/>
      <c r="X37" s="2"/>
    </row>
    <row r="38" spans="1:24">
      <c r="A38" s="2"/>
      <c r="B38" s="2"/>
      <c r="C38" s="2" t="s">
        <v>41</v>
      </c>
      <c r="D38" s="9" t="s">
        <v>101</v>
      </c>
      <c r="E38" s="4"/>
      <c r="F38" s="28">
        <f>Scholz!F61</f>
        <v>1</v>
      </c>
      <c r="G38" s="28">
        <f>Scholz!G61</f>
        <v>0.93771263840050201</v>
      </c>
      <c r="H38" s="28">
        <f>Scholz!H61</f>
        <v>0.87542527680100402</v>
      </c>
      <c r="I38" s="28">
        <f>Scholz!I61</f>
        <v>0.81313791520150613</v>
      </c>
      <c r="J38" s="28">
        <f>Scholz!J61</f>
        <v>0.75085055360200814</v>
      </c>
      <c r="K38" s="28">
        <f>Scholz!K61</f>
        <v>0.68856319200251015</v>
      </c>
      <c r="L38" s="28">
        <f>Scholz!L61</f>
        <v>0.62627583040301227</v>
      </c>
      <c r="M38" s="28">
        <f>Scholz!M61</f>
        <v>0.56398846880351416</v>
      </c>
      <c r="N38" s="28">
        <f>Scholz!N61</f>
        <v>0.50170110720401628</v>
      </c>
      <c r="O38" s="28">
        <f>Scholz!O61</f>
        <v>0.43941374560451829</v>
      </c>
      <c r="P38" s="28">
        <f>Scholz!P61</f>
        <v>0.3771263840050203</v>
      </c>
      <c r="Q38" s="28">
        <f>Scholz!Q61</f>
        <v>0.31483902240552242</v>
      </c>
      <c r="R38" s="2"/>
      <c r="S38" s="2"/>
      <c r="T38" s="2"/>
      <c r="U38" s="2"/>
      <c r="V38" s="2"/>
      <c r="W38" s="2"/>
      <c r="X38" s="2"/>
    </row>
    <row r="39" spans="1:24">
      <c r="A39" s="2"/>
      <c r="B39" s="2" t="s">
        <v>86</v>
      </c>
      <c r="C39" s="2"/>
      <c r="D39" s="9" t="s">
        <v>101</v>
      </c>
      <c r="E39" s="4"/>
      <c r="F39" s="28">
        <f>Howe!F64</f>
        <v>1</v>
      </c>
      <c r="G39" s="28">
        <f>Howe!G64</f>
        <v>0.94300237785378438</v>
      </c>
      <c r="H39" s="28">
        <f>Howe!H64</f>
        <v>0.88725798304354453</v>
      </c>
      <c r="I39" s="28">
        <f>Howe!I64</f>
        <v>0.83270722051777357</v>
      </c>
      <c r="J39" s="28">
        <f>Howe!J64</f>
        <v>0.7792828127250403</v>
      </c>
      <c r="K39" s="28">
        <f>Howe!K64</f>
        <v>0.72690850597937762</v>
      </c>
      <c r="L39" s="28">
        <f>Howe!L64</f>
        <v>0.67549754261346528</v>
      </c>
      <c r="M39" s="28">
        <f>Howe!M64</f>
        <v>0.62495085634864211</v>
      </c>
      <c r="N39" s="28">
        <f>Howe!N64</f>
        <v>0.57515494068493356</v>
      </c>
      <c r="O39" s="28">
        <f>Howe!O64</f>
        <v>0.52597933073864611</v>
      </c>
      <c r="P39" s="28">
        <f>Howe!P64</f>
        <v>0.47727362696286313</v>
      </c>
      <c r="Q39" s="28">
        <f>Howe!Q64</f>
        <v>0.42886397312431923</v>
      </c>
      <c r="R39" s="2"/>
      <c r="S39" s="2"/>
      <c r="T39" s="2"/>
      <c r="U39" s="2"/>
      <c r="V39" s="2"/>
      <c r="W39" s="2"/>
      <c r="X39" s="2"/>
    </row>
    <row r="40" spans="1:24">
      <c r="A40" s="2"/>
      <c r="B40" s="2"/>
      <c r="C40" s="2" t="s">
        <v>41</v>
      </c>
      <c r="D40" s="9" t="s">
        <v>101</v>
      </c>
      <c r="E40" s="4"/>
      <c r="F40" s="28">
        <f>Howe!F65</f>
        <v>1</v>
      </c>
      <c r="G40" s="28">
        <f>Howe!G65</f>
        <v>0.94807854301130179</v>
      </c>
      <c r="H40" s="28">
        <f>Howe!H65</f>
        <v>0.89615708602260347</v>
      </c>
      <c r="I40" s="28">
        <f>Howe!I65</f>
        <v>0.84423562903390525</v>
      </c>
      <c r="J40" s="28">
        <f>Howe!J65</f>
        <v>0.79231417204520693</v>
      </c>
      <c r="K40" s="28">
        <f>Howe!K65</f>
        <v>0.74039271505650872</v>
      </c>
      <c r="L40" s="28">
        <f>Howe!L65</f>
        <v>0.68847125806781051</v>
      </c>
      <c r="M40" s="28">
        <f>Howe!M65</f>
        <v>0.63654980107911219</v>
      </c>
      <c r="N40" s="28">
        <f>Howe!N65</f>
        <v>0.58462834409041398</v>
      </c>
      <c r="O40" s="28">
        <f>Howe!O65</f>
        <v>0.53270688710171576</v>
      </c>
      <c r="P40" s="28">
        <f>Howe!P65</f>
        <v>0.48078543011301744</v>
      </c>
      <c r="Q40" s="28">
        <f>Howe!Q65</f>
        <v>0.42886397312431923</v>
      </c>
      <c r="R40" s="2"/>
      <c r="S40" s="2"/>
      <c r="T40" s="2"/>
      <c r="U40" s="2"/>
      <c r="V40" s="2"/>
      <c r="W40" s="2"/>
      <c r="X40" s="2"/>
    </row>
    <row r="41" spans="1:24">
      <c r="A41" s="2" t="s">
        <v>40</v>
      </c>
      <c r="B41" s="2"/>
      <c r="C41" s="2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2" t="s">
        <v>53</v>
      </c>
      <c r="C42" s="2"/>
      <c r="D42" s="9" t="s">
        <v>100</v>
      </c>
      <c r="E42" s="3"/>
      <c r="F42" s="28">
        <f>Bräunling!F71</f>
        <v>0</v>
      </c>
      <c r="G42" s="28">
        <f>Bräunling!G71</f>
        <v>20.984924375738338</v>
      </c>
      <c r="H42" s="28">
        <f>Bräunling!H71</f>
        <v>44.102407906192227</v>
      </c>
      <c r="I42" s="28">
        <f>Bräunling!I71</f>
        <v>69.735907426264873</v>
      </c>
      <c r="J42" s="28">
        <f>Bräunling!J71</f>
        <v>98.364153923746443</v>
      </c>
      <c r="K42" s="28">
        <f>Bräunling!K71</f>
        <v>130.598202255806</v>
      </c>
      <c r="L42" s="28">
        <f>Bräunling!L71</f>
        <v>167.23871504680133</v>
      </c>
      <c r="M42" s="28">
        <f>Bräunling!M71</f>
        <v>209.36872376913777</v>
      </c>
      <c r="N42" s="28">
        <f>Bräunling!N71</f>
        <v>258.51239054081555</v>
      </c>
      <c r="O42" s="28">
        <f>Bräunling!O71</f>
        <v>316.92610150219286</v>
      </c>
      <c r="P42" s="28">
        <f>Bräunling!P71</f>
        <v>388.18210147074268</v>
      </c>
      <c r="Q42" s="28">
        <f>Bräunling!Q71</f>
        <v>478.49119564089222</v>
      </c>
      <c r="R42" s="2"/>
      <c r="S42" s="2"/>
      <c r="T42" s="2"/>
      <c r="U42" s="2"/>
      <c r="V42" s="2"/>
      <c r="W42" s="2"/>
      <c r="X42" s="2"/>
    </row>
    <row r="43" spans="1:24">
      <c r="A43" s="2"/>
      <c r="B43" s="2"/>
      <c r="C43" s="2" t="s">
        <v>41</v>
      </c>
      <c r="D43" s="9" t="s">
        <v>100</v>
      </c>
      <c r="E43" s="3"/>
      <c r="F43" s="28">
        <f>Bräunling!F72</f>
        <v>0</v>
      </c>
      <c r="G43" s="28">
        <f>Bräunling!G72</f>
        <v>20.792699548799579</v>
      </c>
      <c r="H43" s="28">
        <f>Bräunling!H72</f>
        <v>43.296774791824944</v>
      </c>
      <c r="I43" s="28">
        <f>Bräunling!I72</f>
        <v>67.819817648565518</v>
      </c>
      <c r="J43" s="28">
        <f>Bräunling!J72</f>
        <v>94.760751845030271</v>
      </c>
      <c r="K43" s="28">
        <f>Bräunling!K72</f>
        <v>124.65007877131598</v>
      </c>
      <c r="L43" s="28">
        <f>Bräunling!L72</f>
        <v>158.21512457682576</v>
      </c>
      <c r="M43" s="28">
        <f>Bräunling!M72</f>
        <v>196.49166514953177</v>
      </c>
      <c r="N43" s="28">
        <f>Bräunling!N72</f>
        <v>241.02831722401123</v>
      </c>
      <c r="O43" s="28">
        <f>Bräunling!O72</f>
        <v>294.29556527618649</v>
      </c>
      <c r="P43" s="28">
        <f>Bräunling!P72</f>
        <v>360.61060378860992</v>
      </c>
      <c r="Q43" s="28">
        <f>Bräunling!Q72</f>
        <v>448.64286818638112</v>
      </c>
      <c r="R43" s="2"/>
      <c r="S43" s="2"/>
      <c r="T43" s="2"/>
      <c r="U43" s="2"/>
      <c r="V43" s="2"/>
      <c r="W43" s="2"/>
      <c r="X43" s="2"/>
    </row>
    <row r="44" spans="1:24">
      <c r="B44" s="2" t="s">
        <v>54</v>
      </c>
      <c r="C44" s="2"/>
      <c r="D44" s="9" t="s">
        <v>100</v>
      </c>
      <c r="E44" s="4"/>
      <c r="F44" s="28">
        <f>Scholz!F66</f>
        <v>0</v>
      </c>
      <c r="G44" s="28">
        <f>Scholz!G66</f>
        <v>32.961256773861251</v>
      </c>
      <c r="H44" s="28">
        <f>Scholz!H66</f>
        <v>68.399413023050428</v>
      </c>
      <c r="I44" s="28">
        <f>Scholz!I66</f>
        <v>106.64460476149725</v>
      </c>
      <c r="J44" s="28">
        <f>Scholz!J66</f>
        <v>148.1016346866823</v>
      </c>
      <c r="K44" s="28">
        <f>Scholz!K66</f>
        <v>193.27578330528092</v>
      </c>
      <c r="L44" s="28">
        <f>Scholz!L66</f>
        <v>242.81103510536258</v>
      </c>
      <c r="M44" s="28">
        <f>Scholz!M66</f>
        <v>297.54865152456711</v>
      </c>
      <c r="N44" s="28">
        <f>Scholz!N66</f>
        <v>358.62064378899896</v>
      </c>
      <c r="O44" s="28">
        <f>Scholz!O66</f>
        <v>427.6065175949106</v>
      </c>
      <c r="P44" s="28">
        <f>Scholz!P66</f>
        <v>506.81291645682791</v>
      </c>
      <c r="Q44" s="28">
        <f>Scholz!Q66</f>
        <v>599.81406587488777</v>
      </c>
      <c r="R44" s="2"/>
      <c r="S44" s="2"/>
      <c r="T44" s="2"/>
      <c r="U44" s="2"/>
      <c r="V44" s="2"/>
      <c r="W44" s="2"/>
      <c r="X44" s="2"/>
    </row>
    <row r="45" spans="1:24">
      <c r="B45" s="2"/>
      <c r="C45" s="2" t="s">
        <v>41</v>
      </c>
      <c r="D45" s="9" t="s">
        <v>100</v>
      </c>
      <c r="E45" s="4"/>
      <c r="F45" s="28">
        <f>Scholz!F67</f>
        <v>0</v>
      </c>
      <c r="G45" s="28">
        <f>Scholz!G67</f>
        <v>32.853387467594906</v>
      </c>
      <c r="H45" s="28">
        <f>Scholz!H67</f>
        <v>67.969185405156225</v>
      </c>
      <c r="I45" s="28">
        <f>Scholz!I67</f>
        <v>105.68248900384977</v>
      </c>
      <c r="J45" s="28">
        <f>Scholz!J67</f>
        <v>146.40892279085188</v>
      </c>
      <c r="K45" s="28">
        <f>Scholz!K67</f>
        <v>190.67274271038437</v>
      </c>
      <c r="L45" s="28">
        <f>Scholz!L67</f>
        <v>239.14839741753761</v>
      </c>
      <c r="M45" s="28">
        <f>Scholz!M67</f>
        <v>292.72412587472809</v>
      </c>
      <c r="N45" s="28">
        <f>Scholz!N67</f>
        <v>352.60332553530026</v>
      </c>
      <c r="O45" s="28">
        <f>Scholz!O67</f>
        <v>420.4743622649259</v>
      </c>
      <c r="P45" s="28">
        <f>Scholz!P67</f>
        <v>498.81327350493535</v>
      </c>
      <c r="Q45" s="28">
        <f>Scholz!Q67</f>
        <v>591.46840233787429</v>
      </c>
      <c r="R45" s="2"/>
      <c r="S45" s="2"/>
      <c r="T45" s="2"/>
      <c r="U45" s="2"/>
      <c r="V45" s="2"/>
      <c r="W45" s="2"/>
      <c r="X45" s="2"/>
    </row>
    <row r="46" spans="1:24">
      <c r="B46" s="2" t="s">
        <v>86</v>
      </c>
      <c r="C46" s="2"/>
      <c r="D46" s="9" t="s">
        <v>100</v>
      </c>
      <c r="E46" s="4"/>
      <c r="F46" s="28">
        <f>Howe!F70</f>
        <v>0</v>
      </c>
      <c r="G46" s="28">
        <f>Howe!G70</f>
        <v>21.0870784879443</v>
      </c>
      <c r="H46" s="28">
        <f>Howe!H70</f>
        <v>43.474601273950583</v>
      </c>
      <c r="I46" s="28">
        <f>Howe!I70</f>
        <v>67.299621885693924</v>
      </c>
      <c r="J46" s="28">
        <f>Howe!J70</f>
        <v>92.722855849496867</v>
      </c>
      <c r="K46" s="28">
        <f>Howe!K70</f>
        <v>119.9348996729511</v>
      </c>
      <c r="L46" s="28">
        <f>Howe!L70</f>
        <v>149.16471841296553</v>
      </c>
      <c r="M46" s="28">
        <f>Howe!M70</f>
        <v>180.69147935587225</v>
      </c>
      <c r="N46" s="28">
        <f>Howe!N70</f>
        <v>214.86145596874553</v>
      </c>
      <c r="O46" s="28">
        <f>Howe!O70</f>
        <v>252.11285749444764</v>
      </c>
      <c r="P46" s="28">
        <f>Howe!P70</f>
        <v>293.0135069319694</v>
      </c>
      <c r="Q46" s="28">
        <f>Howe!Q70</f>
        <v>338.32026845855239</v>
      </c>
      <c r="R46" s="2"/>
      <c r="S46" s="2"/>
      <c r="T46" s="2"/>
      <c r="U46" s="2"/>
      <c r="V46" s="2"/>
      <c r="W46" s="2"/>
      <c r="X46" s="2"/>
    </row>
    <row r="47" spans="1:24" ht="15.75" thickBot="1">
      <c r="A47" s="32"/>
      <c r="B47" s="13"/>
      <c r="C47" s="13" t="s">
        <v>41</v>
      </c>
      <c r="D47" s="14" t="s">
        <v>100</v>
      </c>
      <c r="E47" s="33"/>
      <c r="F47" s="34">
        <f>Howe!F71</f>
        <v>0</v>
      </c>
      <c r="G47" s="34">
        <f>Howe!G71</f>
        <v>21.028970677847237</v>
      </c>
      <c r="H47" s="34">
        <f>Howe!H71</f>
        <v>43.24384278816504</v>
      </c>
      <c r="I47" s="34">
        <f>Howe!I71</f>
        <v>66.786490678785782</v>
      </c>
      <c r="J47" s="34">
        <f>Howe!J71</f>
        <v>91.825895126731979</v>
      </c>
      <c r="K47" s="34">
        <f>Howe!K71</f>
        <v>118.56552663207059</v>
      </c>
      <c r="L47" s="34">
        <f>Howe!L71</f>
        <v>147.25342973071062</v>
      </c>
      <c r="M47" s="34">
        <f>Howe!M71</f>
        <v>178.19628956151018</v>
      </c>
      <c r="N47" s="34">
        <f>Howe!N71</f>
        <v>211.77953316769353</v>
      </c>
      <c r="O47" s="34">
        <f>Howe!O71</f>
        <v>248.49687092148969</v>
      </c>
      <c r="P47" s="34">
        <f>Howe!P71</f>
        <v>288.99516422377866</v>
      </c>
      <c r="Q47" s="34">
        <f>Howe!Q71</f>
        <v>334.14529850886765</v>
      </c>
      <c r="R47" s="2"/>
      <c r="S47" s="2"/>
      <c r="T47" s="2"/>
      <c r="U47" s="2"/>
      <c r="V47" s="2"/>
      <c r="W47" s="2"/>
      <c r="X47" s="2"/>
    </row>
    <row r="48" spans="1:24">
      <c r="A48" s="2"/>
      <c r="B48" s="2"/>
      <c r="C48" s="2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  <c r="R48" s="2"/>
      <c r="S48" s="2"/>
      <c r="T48" s="2"/>
      <c r="U48" s="2"/>
      <c r="V48" s="2"/>
      <c r="W48" s="2"/>
      <c r="X48" s="2"/>
    </row>
    <row r="49" spans="1:24">
      <c r="A49" s="8" t="s">
        <v>88</v>
      </c>
      <c r="B49" s="8"/>
      <c r="C49" s="8"/>
      <c r="D49" s="36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  <c r="R49" s="2"/>
      <c r="S49" s="2"/>
      <c r="T49" s="2"/>
      <c r="U49" s="2"/>
      <c r="V49" s="2"/>
      <c r="W49" s="2"/>
      <c r="X49" s="2"/>
    </row>
    <row r="50" spans="1:24">
      <c r="B50" t="s">
        <v>53</v>
      </c>
      <c r="D50" s="9" t="s">
        <v>43</v>
      </c>
      <c r="E50" s="3"/>
      <c r="F50" s="28">
        <f>Bräunling!F74</f>
        <v>0</v>
      </c>
      <c r="G50" s="28">
        <f>Bräunling!G74</f>
        <v>-1.7814304220200334</v>
      </c>
      <c r="H50" s="28">
        <f>Bräunling!H74</f>
        <v>-3.5956793589028604</v>
      </c>
      <c r="I50" s="28">
        <f>Bräunling!I74</f>
        <v>-5.3809767945237441</v>
      </c>
      <c r="J50" s="28">
        <f>Bräunling!J74</f>
        <v>-7.0625183616418434</v>
      </c>
      <c r="K50" s="28">
        <f>Bräunling!K74</f>
        <v>-8.5461116313307421</v>
      </c>
      <c r="L50" s="28">
        <f>Bräunling!L74</f>
        <v>-9.7083414877773784</v>
      </c>
      <c r="M50" s="28">
        <f>Bräunling!M74</f>
        <v>-10.379838170174343</v>
      </c>
      <c r="N50" s="28">
        <f>Bräunling!N74</f>
        <v>-10.314115380558635</v>
      </c>
      <c r="O50" s="28">
        <f>Bräunling!O74</f>
        <v>-9.1237613406607316</v>
      </c>
      <c r="P50" s="28">
        <f>Bräunling!P74</f>
        <v>-6.1345088335498943</v>
      </c>
      <c r="Q50" s="28">
        <f>Bräunling!Q74</f>
        <v>0</v>
      </c>
      <c r="R50" s="2"/>
      <c r="S50" s="2"/>
      <c r="T50" s="2"/>
      <c r="U50" s="2"/>
      <c r="V50" s="2"/>
      <c r="W50" s="2"/>
      <c r="X50" s="2"/>
    </row>
    <row r="51" spans="1:24">
      <c r="A51" s="2"/>
      <c r="B51" s="2" t="s">
        <v>90</v>
      </c>
      <c r="C51" s="2"/>
      <c r="D51" s="9" t="s">
        <v>43</v>
      </c>
      <c r="E51" s="3"/>
      <c r="F51" s="28">
        <f>Scholz!F69</f>
        <v>0</v>
      </c>
      <c r="G51" s="28">
        <f>Scholz!G69</f>
        <v>-0.63621968435968723</v>
      </c>
      <c r="H51" s="28">
        <f>Scholz!H69</f>
        <v>-1.1810371648667246</v>
      </c>
      <c r="I51" s="28">
        <f>Scholz!I69</f>
        <v>-1.6233396510722204</v>
      </c>
      <c r="J51" s="28">
        <f>Scholz!J69</f>
        <v>-1.9514171421730069</v>
      </c>
      <c r="K51" s="28">
        <f>Scholz!K69</f>
        <v>-2.1530529126306872</v>
      </c>
      <c r="L51" s="28">
        <f>Scholz!L69</f>
        <v>-2.2156487309251025</v>
      </c>
      <c r="M51" s="28">
        <f>Scholz!M69</f>
        <v>-2.1263892038798469</v>
      </c>
      <c r="N51" s="28">
        <f>Scholz!N69</f>
        <v>-1.8724495289442638</v>
      </c>
      <c r="O51" s="28">
        <f>Scholz!O69</f>
        <v>-1.4412520758328418</v>
      </c>
      <c r="P51" s="28">
        <f>Scholz!P69</f>
        <v>-0.82078290009843058</v>
      </c>
      <c r="Q51" s="28">
        <f>Scholz!Q69</f>
        <v>-3.5263196288138493E-14</v>
      </c>
      <c r="R51" s="2"/>
      <c r="S51" s="2"/>
      <c r="T51" s="2"/>
      <c r="U51" s="2"/>
      <c r="V51" s="2"/>
      <c r="W51" s="2"/>
      <c r="X51" s="2"/>
    </row>
    <row r="52" spans="1:24">
      <c r="B52" t="s">
        <v>86</v>
      </c>
      <c r="D52" s="9" t="s">
        <v>43</v>
      </c>
      <c r="E52" s="3"/>
      <c r="F52" s="28">
        <f>Howe!F73</f>
        <v>0</v>
      </c>
      <c r="G52" s="28">
        <f>Howe!G73</f>
        <v>-0.53829823516144781</v>
      </c>
      <c r="H52" s="28">
        <f>Howe!H73</f>
        <v>-1.002989338966837</v>
      </c>
      <c r="I52" s="28">
        <f>Howe!I73</f>
        <v>-1.38444920760545</v>
      </c>
      <c r="J52" s="28">
        <f>Howe!J73</f>
        <v>-1.6722246541788648</v>
      </c>
      <c r="K52" s="28">
        <f>Howe!K73</f>
        <v>-1.855007743920065</v>
      </c>
      <c r="L52" s="28">
        <f>Howe!L73</f>
        <v>-1.9206162326143461</v>
      </c>
      <c r="M52" s="28">
        <f>Howe!M73</f>
        <v>-1.8559770920610366</v>
      </c>
      <c r="N52" s="28">
        <f>Howe!N73</f>
        <v>-1.6471045861483598</v>
      </c>
      <c r="O52" s="28">
        <f>Howe!O73</f>
        <v>-1.2790533714741177</v>
      </c>
      <c r="P52" s="28">
        <f>Howe!P73</f>
        <v>-0.73580498727778409</v>
      </c>
      <c r="Q52" s="28">
        <f>Howe!Q73</f>
        <v>0</v>
      </c>
      <c r="R52" s="2"/>
      <c r="S52" s="2"/>
      <c r="T52" s="2"/>
      <c r="U52" s="2"/>
      <c r="V52" s="2"/>
      <c r="W52" s="2"/>
      <c r="X52" s="2"/>
    </row>
    <row r="53" spans="1:24">
      <c r="A53" s="2"/>
      <c r="B53" s="2"/>
      <c r="C53" s="2"/>
      <c r="D53" s="9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  <c r="R53" s="2"/>
      <c r="S53" s="2"/>
      <c r="T53" s="2"/>
      <c r="U53" s="2"/>
      <c r="V53" s="2"/>
      <c r="W53" s="2"/>
      <c r="X53" s="2"/>
    </row>
    <row r="54" spans="1:24">
      <c r="A54" s="10" t="s">
        <v>89</v>
      </c>
      <c r="B54" s="8"/>
      <c r="C54" s="8"/>
      <c r="D54" s="9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t="s">
        <v>53</v>
      </c>
      <c r="C55" s="2"/>
      <c r="D55" s="9" t="s">
        <v>43</v>
      </c>
      <c r="E55" s="4"/>
      <c r="F55" s="28">
        <f>Bräunling!F75</f>
        <v>0</v>
      </c>
      <c r="G55" s="28">
        <f>Bräunling!G75</f>
        <v>0.91601391311659408</v>
      </c>
      <c r="H55" s="28">
        <f>Bräunling!H75</f>
        <v>1.8267327173629599</v>
      </c>
      <c r="I55" s="28">
        <f>Bräunling!I75</f>
        <v>2.7476372623749521</v>
      </c>
      <c r="J55" s="28">
        <f>Bräunling!J75</f>
        <v>3.66332849414797</v>
      </c>
      <c r="K55" s="28">
        <f>Bräunling!K75</f>
        <v>4.5545217175649064</v>
      </c>
      <c r="L55" s="28">
        <f>Bräunling!L75</f>
        <v>5.3956348967703711</v>
      </c>
      <c r="M55" s="28">
        <f>Bräunling!M75</f>
        <v>6.150421317849271</v>
      </c>
      <c r="N55" s="28">
        <f>Bräunling!N75</f>
        <v>6.7633405424889368</v>
      </c>
      <c r="O55" s="28">
        <f>Bräunling!O75</f>
        <v>7.1406350309236952</v>
      </c>
      <c r="P55" s="28">
        <f>Bräunling!P75</f>
        <v>7.1027225566737835</v>
      </c>
      <c r="Q55" s="28">
        <f>Bräunling!Q75</f>
        <v>6.2380097536658274</v>
      </c>
      <c r="R55" s="2"/>
      <c r="S55" s="2"/>
      <c r="T55" s="2"/>
      <c r="U55" s="2"/>
      <c r="V55" s="2"/>
      <c r="W55" s="2"/>
      <c r="X55" s="2"/>
    </row>
    <row r="56" spans="1:24">
      <c r="B56" s="2" t="s">
        <v>90</v>
      </c>
      <c r="C56" s="2"/>
      <c r="D56" s="9" t="s">
        <v>43</v>
      </c>
      <c r="E56" s="2"/>
      <c r="F56" s="28">
        <f>Scholz!F70</f>
        <v>0</v>
      </c>
      <c r="G56" s="28">
        <f>Scholz!G70</f>
        <v>0.3272609021142866</v>
      </c>
      <c r="H56" s="28">
        <f>Scholz!H70</f>
        <v>0.6289931431856266</v>
      </c>
      <c r="I56" s="28">
        <f>Scholz!I70</f>
        <v>0.90217011896586985</v>
      </c>
      <c r="J56" s="28">
        <f>Scholz!J70</f>
        <v>1.1429393736345039</v>
      </c>
      <c r="K56" s="28">
        <f>Scholz!K70</f>
        <v>1.3468012134686465</v>
      </c>
      <c r="L56" s="28">
        <f>Scholz!L70</f>
        <v>1.508431314184566</v>
      </c>
      <c r="M56" s="28">
        <f>Scholz!M70</f>
        <v>1.6214241352193393</v>
      </c>
      <c r="N56" s="28">
        <f>Scholz!N70</f>
        <v>1.6779062661097399</v>
      </c>
      <c r="O56" s="28">
        <f>Scholz!O70</f>
        <v>1.6679248413003107</v>
      </c>
      <c r="P56" s="28">
        <f>Scholz!P70</f>
        <v>1.5784212856725783</v>
      </c>
      <c r="Q56" s="28">
        <f>Scholz!Q70</f>
        <v>1.3913750963543192</v>
      </c>
      <c r="R56" s="2"/>
      <c r="S56" s="2"/>
      <c r="T56" s="2"/>
      <c r="U56" s="2"/>
      <c r="V56" s="2"/>
      <c r="W56" s="2"/>
      <c r="X56" s="2"/>
    </row>
    <row r="57" spans="1:24">
      <c r="A57" s="2"/>
      <c r="B57" t="s">
        <v>86</v>
      </c>
      <c r="C57" s="2"/>
      <c r="D57" s="9" t="s">
        <v>43</v>
      </c>
      <c r="E57" s="2"/>
      <c r="F57" s="28">
        <f>Howe!F74</f>
        <v>0</v>
      </c>
      <c r="G57" s="28">
        <f>Howe!G74</f>
        <v>0.27556121693331642</v>
      </c>
      <c r="H57" s="28">
        <f>Howe!H74</f>
        <v>0.53078919420431958</v>
      </c>
      <c r="I57" s="28">
        <f>Howe!I74</f>
        <v>0.76245778583968471</v>
      </c>
      <c r="J57" s="28">
        <f>Howe!J74</f>
        <v>0.96735666146951937</v>
      </c>
      <c r="K57" s="28">
        <f>Howe!K74</f>
        <v>1.141763610604289</v>
      </c>
      <c r="L57" s="28">
        <f>Howe!L74</f>
        <v>1.2813275837544</v>
      </c>
      <c r="M57" s="28">
        <f>Howe!M74</f>
        <v>1.3809117083201143</v>
      </c>
      <c r="N57" s="28">
        <f>Howe!N74</f>
        <v>1.4343767648583323</v>
      </c>
      <c r="O57" s="28">
        <f>Howe!O74</f>
        <v>1.43427297159471</v>
      </c>
      <c r="P57" s="28">
        <f>Howe!P74</f>
        <v>1.3713848041563848</v>
      </c>
      <c r="Q57" s="28">
        <f>Howe!Q74</f>
        <v>1.234028918428874</v>
      </c>
      <c r="R57" s="2"/>
      <c r="S57" s="2"/>
      <c r="T57" s="2"/>
      <c r="U57" s="2"/>
      <c r="V57" s="2"/>
      <c r="W57" s="2"/>
      <c r="X57" s="2"/>
    </row>
    <row r="58" spans="1:24">
      <c r="A58" s="2"/>
      <c r="B58" s="2"/>
      <c r="C58" s="2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 t="s">
        <v>52</v>
      </c>
      <c r="B59" s="2"/>
      <c r="C59" s="2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B60" t="s">
        <v>53</v>
      </c>
      <c r="D60" s="36" t="s">
        <v>100</v>
      </c>
      <c r="F60" s="1">
        <f>Bräunling!F77</f>
        <v>0</v>
      </c>
      <c r="G60" s="1">
        <f>Bräunling!G77</f>
        <v>20.984924375738338</v>
      </c>
      <c r="H60" s="1">
        <f>Bräunling!H77</f>
        <v>23.117483530453889</v>
      </c>
      <c r="I60" s="1">
        <f>Bräunling!I77</f>
        <v>25.633499520072647</v>
      </c>
      <c r="J60" s="1">
        <f>Bräunling!J77</f>
        <v>28.62824649748157</v>
      </c>
      <c r="K60" s="1">
        <f>Bräunling!K77</f>
        <v>32.234048332059558</v>
      </c>
      <c r="L60" s="1">
        <f>Bräunling!L77</f>
        <v>36.640512790995331</v>
      </c>
      <c r="M60" s="1">
        <f>Bräunling!M77</f>
        <v>42.130008722336441</v>
      </c>
      <c r="N60" s="1">
        <f>Bräunling!N77</f>
        <v>49.143666771677772</v>
      </c>
      <c r="O60" s="1">
        <f>Bräunling!O77</f>
        <v>58.413710961377319</v>
      </c>
      <c r="P60" s="1">
        <f>Bräunling!P77</f>
        <v>71.255999968549816</v>
      </c>
      <c r="Q60" s="1">
        <f>Bräunling!Q77</f>
        <v>90.309094170149535</v>
      </c>
      <c r="R60" s="2"/>
      <c r="S60" s="2"/>
      <c r="T60" s="2"/>
      <c r="U60" s="2"/>
      <c r="V60" s="2"/>
      <c r="W60" s="2"/>
      <c r="X60" s="2"/>
    </row>
    <row r="61" spans="1:24">
      <c r="A61" s="2"/>
      <c r="B61" s="2" t="s">
        <v>90</v>
      </c>
      <c r="C61" s="2"/>
      <c r="D61" s="36" t="s">
        <v>100</v>
      </c>
      <c r="F61" s="1">
        <f>Scholz!F72</f>
        <v>0</v>
      </c>
      <c r="G61" s="1">
        <f>Scholz!G72</f>
        <v>32.961256773861251</v>
      </c>
      <c r="H61" s="1">
        <f>Scholz!H72</f>
        <v>35.438156249189177</v>
      </c>
      <c r="I61" s="1">
        <f>Scholz!I72</f>
        <v>38.24519173844682</v>
      </c>
      <c r="J61" s="1">
        <f>Scholz!J72</f>
        <v>41.457029925185054</v>
      </c>
      <c r="K61" s="1">
        <f>Scholz!K72</f>
        <v>45.174148618598622</v>
      </c>
      <c r="L61" s="1">
        <f>Scholz!L72</f>
        <v>49.535251800081653</v>
      </c>
      <c r="M61" s="1">
        <f>Scholz!M72</f>
        <v>54.737616419204528</v>
      </c>
      <c r="N61" s="1">
        <f>Scholz!N72</f>
        <v>61.071992264431856</v>
      </c>
      <c r="O61" s="1">
        <f>Scholz!O72</f>
        <v>68.985873805911638</v>
      </c>
      <c r="P61" s="1">
        <f>Scholz!P72</f>
        <v>79.206398861917307</v>
      </c>
      <c r="Q61" s="1">
        <f>Scholz!Q72</f>
        <v>93.001149418059867</v>
      </c>
      <c r="R61" s="2"/>
      <c r="S61" s="2"/>
      <c r="T61" s="2"/>
      <c r="U61" s="2"/>
      <c r="V61" s="2"/>
      <c r="W61" s="2"/>
      <c r="X61" s="2"/>
    </row>
    <row r="62" spans="1:24" ht="15.75" thickBot="1">
      <c r="A62" s="32"/>
      <c r="B62" s="32" t="s">
        <v>86</v>
      </c>
      <c r="C62" s="32"/>
      <c r="D62" s="37" t="s">
        <v>100</v>
      </c>
      <c r="E62" s="32"/>
      <c r="F62" s="35">
        <f>Howe!F76</f>
        <v>0</v>
      </c>
      <c r="G62" s="35">
        <f>Howe!G76</f>
        <v>21.0870784879443</v>
      </c>
      <c r="H62" s="35">
        <f>Howe!H76</f>
        <v>22.387522786006283</v>
      </c>
      <c r="I62" s="35">
        <f>Howe!I76</f>
        <v>23.825020611743341</v>
      </c>
      <c r="J62" s="35">
        <f>Howe!J76</f>
        <v>25.423233963802943</v>
      </c>
      <c r="K62" s="35">
        <f>Howe!K76</f>
        <v>27.212043823454238</v>
      </c>
      <c r="L62" s="35">
        <f>Howe!L76</f>
        <v>29.229818740014423</v>
      </c>
      <c r="M62" s="35">
        <f>Howe!M76</f>
        <v>31.526760942906719</v>
      </c>
      <c r="N62" s="35">
        <f>Howe!N76</f>
        <v>34.169976612873285</v>
      </c>
      <c r="O62" s="35">
        <f>Howe!O76</f>
        <v>37.251401525702107</v>
      </c>
      <c r="P62" s="35">
        <f>Howe!P76</f>
        <v>40.900649437521764</v>
      </c>
      <c r="Q62" s="35">
        <f>Howe!Q76</f>
        <v>45.306761526582989</v>
      </c>
      <c r="R62" s="2"/>
      <c r="S62" s="2"/>
      <c r="T62" s="2"/>
      <c r="U62" s="2"/>
      <c r="V62" s="2"/>
      <c r="W62" s="2"/>
      <c r="X62" s="2"/>
    </row>
    <row r="63" spans="1:24">
      <c r="R63" s="2"/>
      <c r="S63" s="2"/>
      <c r="T63" s="2"/>
      <c r="U63" s="2"/>
      <c r="V63" s="2"/>
      <c r="W63" s="2"/>
      <c r="X63" s="2"/>
    </row>
    <row r="64" spans="1:24">
      <c r="R64" s="2"/>
      <c r="S64" s="2"/>
      <c r="T64" s="2"/>
      <c r="U64" s="2"/>
      <c r="V64" s="2"/>
      <c r="W64" s="2"/>
      <c r="X64" s="2"/>
    </row>
    <row r="65" spans="18:24">
      <c r="R65" s="2"/>
      <c r="S65" s="2"/>
      <c r="T65" s="2"/>
      <c r="U65" s="2"/>
      <c r="V65" s="2"/>
      <c r="W65" s="2"/>
      <c r="X65" s="2"/>
    </row>
    <row r="66" spans="18:24">
      <c r="R66" s="2"/>
      <c r="S66" s="2"/>
      <c r="T66" s="2"/>
      <c r="U66" s="2"/>
      <c r="V66" s="2"/>
      <c r="W66" s="2"/>
      <c r="X66" s="2"/>
    </row>
    <row r="67" spans="18:24">
      <c r="R67" s="2"/>
      <c r="S67" s="2"/>
      <c r="T67" s="2"/>
      <c r="U67" s="2"/>
      <c r="V67" s="2"/>
      <c r="W67" s="2"/>
      <c r="X67" s="2"/>
    </row>
    <row r="68" spans="18:24">
      <c r="R68" s="2"/>
      <c r="S68" s="2"/>
      <c r="T68" s="2"/>
      <c r="U68" s="2"/>
      <c r="V68" s="2"/>
      <c r="W68" s="2"/>
      <c r="X68" s="2"/>
    </row>
    <row r="69" spans="18:24">
      <c r="R69" s="2"/>
      <c r="S69" s="2"/>
      <c r="T69" s="2"/>
      <c r="U69" s="2"/>
      <c r="V69" s="2"/>
      <c r="W69" s="2"/>
      <c r="X69" s="2"/>
    </row>
    <row r="70" spans="18:24">
      <c r="R70" s="2"/>
      <c r="S70" s="2"/>
      <c r="T70" s="2"/>
      <c r="U70" s="2"/>
      <c r="V70" s="2"/>
      <c r="W70" s="2"/>
      <c r="X70" s="2"/>
    </row>
    <row r="71" spans="18:24">
      <c r="R71" s="2"/>
      <c r="S71" s="2"/>
      <c r="T71" s="2"/>
      <c r="U71" s="2"/>
      <c r="V71" s="2"/>
      <c r="W71" s="2"/>
      <c r="X71" s="2"/>
    </row>
    <row r="72" spans="18:24">
      <c r="R72" s="2"/>
      <c r="S72" s="2"/>
      <c r="T72" s="2"/>
      <c r="U72" s="2"/>
      <c r="V72" s="2"/>
      <c r="W72" s="2"/>
      <c r="X72" s="2"/>
    </row>
    <row r="73" spans="18:24">
      <c r="R73" s="2"/>
      <c r="S73" s="2"/>
      <c r="T73" s="2"/>
      <c r="U73" s="2"/>
      <c r="V73" s="2"/>
      <c r="W73" s="2"/>
      <c r="X73" s="2"/>
    </row>
    <row r="74" spans="18:24">
      <c r="R74" s="2"/>
      <c r="S74" s="2"/>
      <c r="T74" s="2"/>
      <c r="U74" s="2"/>
      <c r="V74" s="2"/>
      <c r="W74" s="2"/>
      <c r="X74" s="2"/>
    </row>
    <row r="75" spans="18:24">
      <c r="R75" s="2"/>
      <c r="S75" s="2"/>
      <c r="T75" s="2"/>
      <c r="U75" s="2"/>
      <c r="V75" s="2"/>
      <c r="W75" s="2"/>
      <c r="X75" s="2"/>
    </row>
    <row r="76" spans="18:24">
      <c r="R76" s="2"/>
      <c r="S76" s="2"/>
      <c r="T76" s="2"/>
      <c r="U76" s="2"/>
      <c r="V76" s="2"/>
      <c r="W76" s="2"/>
      <c r="X76" s="2"/>
    </row>
    <row r="77" spans="18:24">
      <c r="R77" s="2"/>
      <c r="S77" s="2"/>
      <c r="T77" s="2"/>
      <c r="U77" s="2"/>
      <c r="V77" s="2"/>
      <c r="W77" s="2"/>
      <c r="X77" s="2"/>
    </row>
    <row r="78" spans="18:24">
      <c r="R78" s="2"/>
      <c r="S78" s="2"/>
      <c r="T78" s="2"/>
      <c r="U78" s="2"/>
      <c r="V78" s="2"/>
      <c r="W78" s="2"/>
      <c r="X78" s="2"/>
    </row>
    <row r="79" spans="18:24">
      <c r="R79" s="2"/>
      <c r="S79" s="2"/>
      <c r="T79" s="2"/>
      <c r="U79" s="2"/>
      <c r="V79" s="2"/>
      <c r="W79" s="2"/>
      <c r="X79" s="2"/>
    </row>
    <row r="80" spans="18:24">
      <c r="R80" s="2"/>
      <c r="S80" s="2"/>
      <c r="T80" s="2"/>
      <c r="U80" s="2"/>
      <c r="V80" s="2"/>
      <c r="W80" s="2"/>
      <c r="X80" s="2"/>
    </row>
    <row r="81" spans="18:24">
      <c r="R81" s="2"/>
      <c r="S81" s="2"/>
      <c r="T81" s="2"/>
      <c r="U81" s="2"/>
      <c r="V81" s="2"/>
      <c r="W81" s="2"/>
      <c r="X81" s="2"/>
    </row>
    <row r="82" spans="18:24">
      <c r="R82" s="2"/>
      <c r="S82" s="2"/>
      <c r="T82" s="2"/>
      <c r="U82" s="2"/>
      <c r="V82" s="2"/>
      <c r="W82" s="2"/>
      <c r="X82" s="2"/>
    </row>
    <row r="83" spans="18:24">
      <c r="R83" s="2"/>
      <c r="S83" s="2"/>
      <c r="T83" s="2"/>
      <c r="U83" s="2"/>
      <c r="V83" s="2"/>
      <c r="W83" s="2"/>
      <c r="X83" s="2"/>
    </row>
    <row r="84" spans="18:24">
      <c r="R84" s="2"/>
      <c r="S84" s="2"/>
      <c r="T84" s="2"/>
      <c r="U84" s="2"/>
      <c r="V84" s="2"/>
      <c r="W84" s="2"/>
      <c r="X84" s="2"/>
    </row>
    <row r="85" spans="18:24">
      <c r="R85" s="2"/>
      <c r="S85" s="2"/>
      <c r="T85" s="2"/>
      <c r="U85" s="2"/>
      <c r="V85" s="2"/>
      <c r="W85" s="2"/>
      <c r="X85" s="2"/>
    </row>
    <row r="86" spans="18:24">
      <c r="R86" s="2"/>
      <c r="S86" s="2"/>
      <c r="T86" s="2"/>
      <c r="U86" s="2"/>
      <c r="V86" s="2"/>
      <c r="W86" s="2"/>
      <c r="X86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"/>
  <sheetViews>
    <sheetView zoomScaleNormal="100" workbookViewId="0">
      <selection activeCell="A3" sqref="A3"/>
    </sheetView>
  </sheetViews>
  <sheetFormatPr baseColWidth="10" defaultRowHeight="15"/>
  <cols>
    <col min="2" max="2" width="13" customWidth="1"/>
    <col min="3" max="3" width="12" bestFit="1" customWidth="1"/>
    <col min="5" max="5" width="12" customWidth="1"/>
    <col min="6" max="6" width="16.140625" bestFit="1" customWidth="1"/>
    <col min="7" max="7" width="16" customWidth="1"/>
    <col min="8" max="9" width="16.140625" bestFit="1" customWidth="1"/>
    <col min="10" max="10" width="16.5703125" customWidth="1"/>
    <col min="11" max="17" width="16.140625" bestFit="1" customWidth="1"/>
    <col min="18" max="19" width="11.5703125" bestFit="1" customWidth="1"/>
    <col min="20" max="20" width="12.85546875" bestFit="1" customWidth="1"/>
    <col min="21" max="21" width="15.85546875" bestFit="1" customWidth="1"/>
    <col min="22" max="29" width="11.5703125" bestFit="1" customWidth="1"/>
  </cols>
  <sheetData>
    <row r="1" spans="1:32" ht="20.25">
      <c r="A1" s="60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25">
      <c r="A2" s="61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thickBot="1">
      <c r="A4" s="2"/>
      <c r="B4" s="5" t="s">
        <v>2</v>
      </c>
      <c r="C4" s="5"/>
      <c r="D4" s="5"/>
      <c r="E4" s="5"/>
      <c r="F4" s="5"/>
      <c r="G4" s="5"/>
      <c r="H4" s="2"/>
      <c r="I4" s="2"/>
      <c r="J4" s="5" t="s">
        <v>57</v>
      </c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6.5">
      <c r="A5" s="2"/>
      <c r="B5" s="6" t="s">
        <v>103</v>
      </c>
      <c r="C5" s="6"/>
      <c r="D5" s="6"/>
      <c r="E5" s="7"/>
      <c r="F5" s="8">
        <v>75000</v>
      </c>
      <c r="G5" s="8" t="s">
        <v>12</v>
      </c>
      <c r="H5" s="2"/>
      <c r="I5" s="2"/>
      <c r="J5" s="6" t="s">
        <v>3</v>
      </c>
      <c r="K5" s="7"/>
      <c r="L5" s="8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8">
      <c r="A6" s="2"/>
      <c r="B6" s="8" t="s">
        <v>0</v>
      </c>
      <c r="C6" s="8"/>
      <c r="D6" s="8"/>
      <c r="E6" s="11"/>
      <c r="F6" s="8">
        <v>123</v>
      </c>
      <c r="G6" s="8" t="s">
        <v>60</v>
      </c>
      <c r="H6" s="2"/>
      <c r="I6" s="2"/>
      <c r="J6" s="8" t="s">
        <v>59</v>
      </c>
      <c r="K6" s="11"/>
      <c r="L6" s="8">
        <v>1.4</v>
      </c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2"/>
      <c r="B7" s="8" t="s">
        <v>22</v>
      </c>
      <c r="C7" s="8"/>
      <c r="D7" s="8"/>
      <c r="E7" s="11"/>
      <c r="F7" s="8">
        <v>34</v>
      </c>
      <c r="G7" s="8" t="s">
        <v>11</v>
      </c>
      <c r="H7" s="2"/>
      <c r="I7" s="2"/>
      <c r="J7" s="8" t="s">
        <v>1</v>
      </c>
      <c r="K7" s="11"/>
      <c r="L7" s="8">
        <v>287.05700000000002</v>
      </c>
      <c r="M7" s="8" t="s">
        <v>13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>
      <c r="A8" s="2"/>
      <c r="B8" s="8" t="s">
        <v>95</v>
      </c>
      <c r="C8" s="8"/>
      <c r="D8" s="8"/>
      <c r="E8" s="11"/>
      <c r="F8" s="8">
        <f>F7^2/F6</f>
        <v>9.3983739837398375</v>
      </c>
      <c r="G8" s="8" t="s">
        <v>101</v>
      </c>
      <c r="H8" s="2"/>
      <c r="I8" s="2"/>
      <c r="J8" s="8"/>
      <c r="K8" s="11"/>
      <c r="L8" s="8"/>
      <c r="M8" s="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6.5">
      <c r="A9" s="2"/>
      <c r="B9" s="8" t="s">
        <v>110</v>
      </c>
      <c r="C9" s="8"/>
      <c r="D9" s="8"/>
      <c r="E9" s="11"/>
      <c r="F9" s="8">
        <v>0.02</v>
      </c>
      <c r="G9" s="8" t="s">
        <v>101</v>
      </c>
      <c r="H9" s="2"/>
      <c r="I9" s="2"/>
      <c r="J9" s="8" t="s">
        <v>61</v>
      </c>
      <c r="K9" s="11"/>
      <c r="L9" s="8">
        <f>2.2558*10^-5</f>
        <v>2.2558E-5</v>
      </c>
      <c r="M9" s="55" t="s">
        <v>113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8">
      <c r="A10" s="2"/>
      <c r="B10" s="8" t="s">
        <v>6</v>
      </c>
      <c r="C10" s="8"/>
      <c r="D10" s="8"/>
      <c r="E10" s="11"/>
      <c r="F10" s="8">
        <v>0.75</v>
      </c>
      <c r="G10" s="8" t="s">
        <v>101</v>
      </c>
      <c r="H10" s="2"/>
      <c r="I10" s="2"/>
      <c r="J10" s="8" t="s">
        <v>9</v>
      </c>
      <c r="K10" s="11"/>
      <c r="L10" s="8">
        <f>6.67248*10^-11</f>
        <v>6.6724799999999995E-11</v>
      </c>
      <c r="M10" s="8" t="s">
        <v>112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6.5">
      <c r="A11" s="2"/>
      <c r="B11" s="8" t="s">
        <v>62</v>
      </c>
      <c r="C11" s="8"/>
      <c r="D11" s="8"/>
      <c r="E11" s="11"/>
      <c r="F11" s="8">
        <v>0.82</v>
      </c>
      <c r="G11" s="8" t="s">
        <v>101</v>
      </c>
      <c r="H11" s="2"/>
      <c r="I11" s="2"/>
      <c r="J11" s="8" t="s">
        <v>10</v>
      </c>
      <c r="K11" s="11"/>
      <c r="L11" s="8">
        <f>6.38*10^6</f>
        <v>6380000</v>
      </c>
      <c r="M11" s="8" t="s">
        <v>11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7.25" thickBot="1">
      <c r="A12" s="2"/>
      <c r="B12" s="8" t="s">
        <v>64</v>
      </c>
      <c r="C12" s="8"/>
      <c r="D12" s="8"/>
      <c r="E12" s="11"/>
      <c r="F12" s="8">
        <v>0.75</v>
      </c>
      <c r="G12" s="8" t="s">
        <v>101</v>
      </c>
      <c r="H12" s="2"/>
      <c r="I12" s="2"/>
      <c r="J12" s="13" t="s">
        <v>63</v>
      </c>
      <c r="K12" s="12"/>
      <c r="L12" s="13">
        <f>5.98*10^24</f>
        <v>5.9800000000000005E+24</v>
      </c>
      <c r="M12" s="13" t="s">
        <v>12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2"/>
      <c r="B13" s="8" t="s">
        <v>65</v>
      </c>
      <c r="C13" s="8"/>
      <c r="D13" s="8"/>
      <c r="E13" s="11"/>
      <c r="F13" s="8">
        <v>4.5999999999999996</v>
      </c>
      <c r="G13" s="8" t="s">
        <v>101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6.5">
      <c r="A14" s="2"/>
      <c r="B14" s="8" t="s">
        <v>66</v>
      </c>
      <c r="C14" s="8"/>
      <c r="D14" s="8"/>
      <c r="E14" s="11"/>
      <c r="F14" s="8">
        <v>1425</v>
      </c>
      <c r="G14" s="8" t="s">
        <v>26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6.5">
      <c r="A15" s="2"/>
      <c r="B15" s="8" t="s">
        <v>67</v>
      </c>
      <c r="C15" s="8"/>
      <c r="D15" s="8"/>
      <c r="E15" s="11"/>
      <c r="F15" s="8">
        <v>22</v>
      </c>
      <c r="G15" s="8" t="s">
        <v>101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6.5">
      <c r="A16" s="2"/>
      <c r="B16" s="8" t="s">
        <v>68</v>
      </c>
      <c r="C16" s="8"/>
      <c r="D16" s="8"/>
      <c r="E16" s="11"/>
      <c r="F16" s="8">
        <v>1.64</v>
      </c>
      <c r="G16" s="8" t="s">
        <v>101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8.75">
      <c r="A17" s="2"/>
      <c r="B17" s="8" t="s">
        <v>104</v>
      </c>
      <c r="C17" s="8"/>
      <c r="D17" s="8"/>
      <c r="E17" s="11"/>
      <c r="F17" s="8">
        <f>PI()/4*F18^2</f>
        <v>2.0106192982974678</v>
      </c>
      <c r="G17" s="8" t="s">
        <v>60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thickBot="1">
      <c r="A18" s="2"/>
      <c r="B18" s="13" t="s">
        <v>32</v>
      </c>
      <c r="C18" s="13"/>
      <c r="D18" s="13"/>
      <c r="E18" s="12"/>
      <c r="F18" s="13">
        <v>1.6</v>
      </c>
      <c r="G18" s="13" t="s">
        <v>11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>
      <c r="A23" s="15" t="s">
        <v>8</v>
      </c>
      <c r="B23" s="15"/>
      <c r="C23" s="15"/>
      <c r="D23" s="16" t="s">
        <v>11</v>
      </c>
      <c r="E23" s="15"/>
      <c r="F23" s="15">
        <v>0</v>
      </c>
      <c r="G23" s="15">
        <v>1000</v>
      </c>
      <c r="H23" s="15">
        <v>2000</v>
      </c>
      <c r="I23" s="15">
        <v>3000</v>
      </c>
      <c r="J23" s="15">
        <v>4000</v>
      </c>
      <c r="K23" s="15">
        <v>5000</v>
      </c>
      <c r="L23" s="15">
        <v>6000</v>
      </c>
      <c r="M23" s="15">
        <v>7000</v>
      </c>
      <c r="N23" s="15">
        <v>8000</v>
      </c>
      <c r="O23" s="15">
        <v>9000</v>
      </c>
      <c r="P23" s="15">
        <v>10000</v>
      </c>
      <c r="Q23" s="15">
        <v>11000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>
      <c r="A24" s="8" t="s">
        <v>33</v>
      </c>
      <c r="B24" s="8"/>
      <c r="C24" s="8"/>
      <c r="D24" s="9"/>
      <c r="E24" s="8"/>
      <c r="F24" s="8">
        <f>L6</f>
        <v>1.4</v>
      </c>
      <c r="G24" s="8">
        <f>F24</f>
        <v>1.4</v>
      </c>
      <c r="H24" s="8">
        <f t="shared" ref="H24:Q24" si="0">G24</f>
        <v>1.4</v>
      </c>
      <c r="I24" s="8">
        <f t="shared" si="0"/>
        <v>1.4</v>
      </c>
      <c r="J24" s="8">
        <f t="shared" si="0"/>
        <v>1.4</v>
      </c>
      <c r="K24" s="8">
        <f t="shared" si="0"/>
        <v>1.4</v>
      </c>
      <c r="L24" s="8">
        <f t="shared" si="0"/>
        <v>1.4</v>
      </c>
      <c r="M24" s="8">
        <f t="shared" si="0"/>
        <v>1.4</v>
      </c>
      <c r="N24" s="8">
        <f t="shared" si="0"/>
        <v>1.4</v>
      </c>
      <c r="O24" s="8">
        <f t="shared" si="0"/>
        <v>1.4</v>
      </c>
      <c r="P24" s="8">
        <f t="shared" si="0"/>
        <v>1.4</v>
      </c>
      <c r="Q24" s="8">
        <f t="shared" si="0"/>
        <v>1.4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>
      <c r="A25" s="8" t="s">
        <v>4</v>
      </c>
      <c r="B25" s="8"/>
      <c r="C25" s="8"/>
      <c r="D25" s="9" t="s">
        <v>13</v>
      </c>
      <c r="E25" s="8"/>
      <c r="F25" s="8">
        <f>L7</f>
        <v>287.05700000000002</v>
      </c>
      <c r="G25" s="8">
        <f>F25</f>
        <v>287.05700000000002</v>
      </c>
      <c r="H25" s="8">
        <f t="shared" ref="H25:Q25" si="1">G25</f>
        <v>287.05700000000002</v>
      </c>
      <c r="I25" s="8">
        <f t="shared" si="1"/>
        <v>287.05700000000002</v>
      </c>
      <c r="J25" s="8">
        <f t="shared" si="1"/>
        <v>287.05700000000002</v>
      </c>
      <c r="K25" s="8">
        <f t="shared" si="1"/>
        <v>287.05700000000002</v>
      </c>
      <c r="L25" s="8">
        <f t="shared" si="1"/>
        <v>287.05700000000002</v>
      </c>
      <c r="M25" s="8">
        <f t="shared" si="1"/>
        <v>287.05700000000002</v>
      </c>
      <c r="N25" s="8">
        <f t="shared" si="1"/>
        <v>287.05700000000002</v>
      </c>
      <c r="O25" s="8">
        <f t="shared" si="1"/>
        <v>287.05700000000002</v>
      </c>
      <c r="P25" s="8">
        <f t="shared" si="1"/>
        <v>287.05700000000002</v>
      </c>
      <c r="Q25" s="8">
        <f t="shared" si="1"/>
        <v>287.05700000000002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8">
      <c r="A26" s="8" t="s">
        <v>69</v>
      </c>
      <c r="B26" s="8"/>
      <c r="C26" s="8"/>
      <c r="D26" s="57" t="s">
        <v>111</v>
      </c>
      <c r="E26" s="8"/>
      <c r="F26" s="17">
        <f>1.225*(1-L9*F23)^4.25588</f>
        <v>1.2250000000000001</v>
      </c>
      <c r="G26" s="17">
        <f>1.225*(1-L9*G23)^4.25588</f>
        <v>1.1116410059684421</v>
      </c>
      <c r="H26" s="17">
        <f>1.225*(1-L9*H23)^4.25588</f>
        <v>1.0064873432666894</v>
      </c>
      <c r="I26" s="17">
        <f>1.225*(1-L9*I23)^4.25588</f>
        <v>0.90911804665890827</v>
      </c>
      <c r="J26" s="17">
        <f>1.225*(1-L9*J23)^4.25588</f>
        <v>0.81912445706567716</v>
      </c>
      <c r="K26" s="17">
        <f>1.225*(1-L9*K23)^4.25588</f>
        <v>0.73611014650140227</v>
      </c>
      <c r="L26" s="17">
        <f>1.225*(1-L9*L23)^4.25588</f>
        <v>0.65969084164738856</v>
      </c>
      <c r="M26" s="17">
        <f>1.225*(1-L9*M23)^4.25588</f>
        <v>0.58949434600097872</v>
      </c>
      <c r="N26" s="17">
        <f>1.225*(1-L9*N23)^4.25588</f>
        <v>0.52516046053695253</v>
      </c>
      <c r="O26" s="17">
        <f>1.225*(1-L9*O23)^4.25588</f>
        <v>0.46634090281278195</v>
      </c>
      <c r="P26" s="17">
        <f>1.225*(1-L9*P23)^4.25588</f>
        <v>0.41269922444423646</v>
      </c>
      <c r="Q26" s="17">
        <f>1.225*(1-L9*Q23)^4.25588</f>
        <v>0.36391072687221748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>
      <c r="A27" s="8" t="s">
        <v>34</v>
      </c>
      <c r="B27" s="8"/>
      <c r="C27" s="8"/>
      <c r="D27" s="9" t="s">
        <v>102</v>
      </c>
      <c r="E27" s="8"/>
      <c r="F27" s="18">
        <f>(8.9621474842-0.0002021654*F23)^5.2558306254</f>
        <v>101325.00000088572</v>
      </c>
      <c r="G27" s="18">
        <f t="shared" ref="G27:Q27" si="2">(8.9621474842-0.0002021654*G23)^5.2558306254</f>
        <v>89874.663524538017</v>
      </c>
      <c r="H27" s="18">
        <f t="shared" si="2"/>
        <v>79495.381984628548</v>
      </c>
      <c r="I27" s="18">
        <f t="shared" si="2"/>
        <v>70108.767510416699</v>
      </c>
      <c r="J27" s="18">
        <f t="shared" si="2"/>
        <v>61640.499700318927</v>
      </c>
      <c r="K27" s="18">
        <f t="shared" si="2"/>
        <v>54020.205324521725</v>
      </c>
      <c r="L27" s="18">
        <f t="shared" si="2"/>
        <v>47181.338770084076</v>
      </c>
      <c r="M27" s="18">
        <f t="shared" si="2"/>
        <v>41061.063242198135</v>
      </c>
      <c r="N27" s="18">
        <f t="shared" si="2"/>
        <v>35600.132735873492</v>
      </c>
      <c r="O27" s="18">
        <f t="shared" si="2"/>
        <v>30742.774792963755</v>
      </c>
      <c r="P27" s="18">
        <f t="shared" si="2"/>
        <v>26436.574060147057</v>
      </c>
      <c r="Q27" s="18">
        <f t="shared" si="2"/>
        <v>22632.356664219718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6.5">
      <c r="A28" s="8" t="s">
        <v>105</v>
      </c>
      <c r="B28" s="8"/>
      <c r="C28" s="8"/>
      <c r="D28" s="9" t="s">
        <v>26</v>
      </c>
      <c r="E28" s="8"/>
      <c r="F28" s="8">
        <f>288.15-0.0065*F23</f>
        <v>288.14999999999998</v>
      </c>
      <c r="G28" s="8">
        <f t="shared" ref="G28:Q28" si="3">288.15-0.0065*G23</f>
        <v>281.64999999999998</v>
      </c>
      <c r="H28" s="8">
        <f t="shared" si="3"/>
        <v>275.14999999999998</v>
      </c>
      <c r="I28" s="8">
        <f t="shared" si="3"/>
        <v>268.64999999999998</v>
      </c>
      <c r="J28" s="8">
        <f t="shared" si="3"/>
        <v>262.14999999999998</v>
      </c>
      <c r="K28" s="8">
        <f t="shared" si="3"/>
        <v>255.64999999999998</v>
      </c>
      <c r="L28" s="8">
        <f t="shared" si="3"/>
        <v>249.14999999999998</v>
      </c>
      <c r="M28" s="8">
        <f t="shared" si="3"/>
        <v>242.64999999999998</v>
      </c>
      <c r="N28" s="8">
        <f t="shared" si="3"/>
        <v>236.14999999999998</v>
      </c>
      <c r="O28" s="8">
        <f t="shared" si="3"/>
        <v>229.64999999999998</v>
      </c>
      <c r="P28" s="8">
        <f t="shared" si="3"/>
        <v>223.14999999999998</v>
      </c>
      <c r="Q28" s="8">
        <f t="shared" si="3"/>
        <v>216.64999999999998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8.75" thickBot="1">
      <c r="A29" s="13" t="s">
        <v>55</v>
      </c>
      <c r="B29" s="13"/>
      <c r="C29" s="13"/>
      <c r="D29" s="14" t="s">
        <v>70</v>
      </c>
      <c r="E29" s="13"/>
      <c r="F29" s="19">
        <f>L10*L12/(L11+F23)^2</f>
        <v>9.802731498314678</v>
      </c>
      <c r="G29" s="19">
        <f>L10*L12/(L11+G23)^2</f>
        <v>9.7996592640631306</v>
      </c>
      <c r="H29" s="19">
        <f>L10*L12/(L11+H23)^2</f>
        <v>9.7965884738699742</v>
      </c>
      <c r="I29" s="19">
        <f>L10*L12/(L11+I23)^2</f>
        <v>9.7935191268303381</v>
      </c>
      <c r="J29" s="19">
        <f>L10*L12/(L11+J23)^2</f>
        <v>9.7904512220400619</v>
      </c>
      <c r="K29" s="19">
        <f>L10*L12/(L11+K23)^2</f>
        <v>9.7873847585956959</v>
      </c>
      <c r="L29" s="19">
        <f>L10*L12/(L11+L23)^2</f>
        <v>9.784319735594492</v>
      </c>
      <c r="M29" s="19">
        <f>L10*L12/(L11+M23)^2</f>
        <v>9.7812561521344108</v>
      </c>
      <c r="N29" s="19">
        <f>L10*L12/(L11+N23)^2</f>
        <v>9.7781940073141218</v>
      </c>
      <c r="O29" s="19">
        <f>L10*L12/(L11+O23)^2</f>
        <v>9.7751333002329943</v>
      </c>
      <c r="P29" s="19">
        <f>L10*L12/(L11+P23)^2</f>
        <v>9.77207402999111</v>
      </c>
      <c r="Q29" s="19">
        <f>L10*L12/(L11+Q23)^2</f>
        <v>9.7690161956892467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.75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>
      <c r="A33" s="15" t="s">
        <v>14</v>
      </c>
      <c r="B33" s="15"/>
      <c r="C33" s="15"/>
      <c r="D33" s="58" t="s">
        <v>58</v>
      </c>
      <c r="E33" s="15"/>
      <c r="F33" s="56">
        <f>F35*F44^2+F38*F44^-2</f>
        <v>89592.738938765062</v>
      </c>
      <c r="G33" s="56">
        <f t="shared" ref="G33:Q33" si="4">G35*G44^2+G38*G44^-2</f>
        <v>83238.766395522325</v>
      </c>
      <c r="H33" s="56">
        <f t="shared" si="4"/>
        <v>77327.164662807467</v>
      </c>
      <c r="I33" s="56">
        <f t="shared" si="4"/>
        <v>71881.951478624644</v>
      </c>
      <c r="J33" s="56">
        <f t="shared" si="4"/>
        <v>66920.976957730672</v>
      </c>
      <c r="K33" s="56">
        <f t="shared" si="4"/>
        <v>62456.829512515644</v>
      </c>
      <c r="L33" s="56">
        <f t="shared" si="4"/>
        <v>58497.292318856707</v>
      </c>
      <c r="M33" s="56">
        <f t="shared" si="4"/>
        <v>55045.366510606189</v>
      </c>
      <c r="N33" s="56">
        <f t="shared" si="4"/>
        <v>52098.881692030525</v>
      </c>
      <c r="O33" s="56">
        <f t="shared" si="4"/>
        <v>49649.751449276861</v>
      </c>
      <c r="P33" s="56">
        <f t="shared" si="4"/>
        <v>47683.003742009896</v>
      </c>
      <c r="Q33" s="56">
        <f t="shared" si="4"/>
        <v>46175.813035691186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8"/>
      <c r="B34" s="8"/>
      <c r="C34" s="8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>
      <c r="A35" s="40" t="s">
        <v>15</v>
      </c>
      <c r="B35" s="40"/>
      <c r="C35" s="40"/>
      <c r="D35" s="59" t="s">
        <v>114</v>
      </c>
      <c r="E35" s="40"/>
      <c r="F35" s="42">
        <f>0.5*F26*F36*F37</f>
        <v>1.50675</v>
      </c>
      <c r="G35" s="42">
        <f t="shared" ref="G35:P35" si="5">0.5*G26*G36*G37</f>
        <v>1.3673184373411837</v>
      </c>
      <c r="H35" s="42">
        <f t="shared" si="5"/>
        <v>1.237979432218028</v>
      </c>
      <c r="I35" s="42">
        <f t="shared" si="5"/>
        <v>1.118215197390457</v>
      </c>
      <c r="J35" s="42">
        <f t="shared" si="5"/>
        <v>1.007523082190783</v>
      </c>
      <c r="K35" s="42">
        <f t="shared" si="5"/>
        <v>0.9054154801967248</v>
      </c>
      <c r="L35" s="42">
        <f t="shared" si="5"/>
        <v>0.81141973522628796</v>
      </c>
      <c r="M35" s="42">
        <f t="shared" si="5"/>
        <v>0.72507804558120381</v>
      </c>
      <c r="N35" s="42">
        <f t="shared" si="5"/>
        <v>0.64594736646045159</v>
      </c>
      <c r="O35" s="42">
        <f t="shared" si="5"/>
        <v>0.57359931045972179</v>
      </c>
      <c r="P35" s="42">
        <f t="shared" si="5"/>
        <v>0.50762004606641076</v>
      </c>
      <c r="Q35" s="42">
        <f>0.5*Q26*Q36*Q37</f>
        <v>0.44761019405282754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6.5">
      <c r="A36" s="8"/>
      <c r="B36" s="8" t="s">
        <v>71</v>
      </c>
      <c r="C36" s="8"/>
      <c r="D36" s="9" t="s">
        <v>101</v>
      </c>
      <c r="E36" s="8"/>
      <c r="F36" s="21">
        <f>F9</f>
        <v>0.02</v>
      </c>
      <c r="G36" s="21">
        <f>F36</f>
        <v>0.02</v>
      </c>
      <c r="H36" s="21">
        <f>G36</f>
        <v>0.02</v>
      </c>
      <c r="I36" s="21">
        <f t="shared" ref="I36:Q36" si="6">H36</f>
        <v>0.02</v>
      </c>
      <c r="J36" s="21">
        <f t="shared" si="6"/>
        <v>0.02</v>
      </c>
      <c r="K36" s="21">
        <f t="shared" si="6"/>
        <v>0.02</v>
      </c>
      <c r="L36" s="21">
        <f t="shared" si="6"/>
        <v>0.02</v>
      </c>
      <c r="M36" s="21">
        <f t="shared" si="6"/>
        <v>0.02</v>
      </c>
      <c r="N36" s="21">
        <f t="shared" si="6"/>
        <v>0.02</v>
      </c>
      <c r="O36" s="21">
        <f t="shared" si="6"/>
        <v>0.02</v>
      </c>
      <c r="P36" s="21">
        <f t="shared" si="6"/>
        <v>0.02</v>
      </c>
      <c r="Q36" s="21">
        <f t="shared" si="6"/>
        <v>0.02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8">
      <c r="A37" s="8"/>
      <c r="B37" s="8" t="s">
        <v>17</v>
      </c>
      <c r="C37" s="8"/>
      <c r="D37" s="9" t="s">
        <v>60</v>
      </c>
      <c r="E37" s="8"/>
      <c r="F37" s="8">
        <f>F6</f>
        <v>123</v>
      </c>
      <c r="G37" s="8">
        <f>F37</f>
        <v>123</v>
      </c>
      <c r="H37" s="8">
        <f t="shared" ref="H37:Q37" si="7">G37</f>
        <v>123</v>
      </c>
      <c r="I37" s="8">
        <f t="shared" si="7"/>
        <v>123</v>
      </c>
      <c r="J37" s="8">
        <f t="shared" si="7"/>
        <v>123</v>
      </c>
      <c r="K37" s="8">
        <f t="shared" si="7"/>
        <v>123</v>
      </c>
      <c r="L37" s="8">
        <f t="shared" si="7"/>
        <v>123</v>
      </c>
      <c r="M37" s="8">
        <f t="shared" si="7"/>
        <v>123</v>
      </c>
      <c r="N37" s="8">
        <f t="shared" si="7"/>
        <v>123</v>
      </c>
      <c r="O37" s="8">
        <f t="shared" si="7"/>
        <v>123</v>
      </c>
      <c r="P37" s="8">
        <f t="shared" si="7"/>
        <v>123</v>
      </c>
      <c r="Q37" s="8">
        <f t="shared" si="7"/>
        <v>123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40" t="s">
        <v>16</v>
      </c>
      <c r="B38" s="40"/>
      <c r="C38" s="40"/>
      <c r="D38" s="41" t="s">
        <v>114</v>
      </c>
      <c r="E38" s="40"/>
      <c r="F38" s="43">
        <f>(2*F39^2*F29^2)/(F26*F37*F40*F41*F42)</f>
        <v>323997514.12909204</v>
      </c>
      <c r="G38" s="43">
        <f t="shared" ref="G38:Q38" si="8">(2*G39^2*G29^2)/(G26*G37*G40*G41*G42)</f>
        <v>356813226.51730007</v>
      </c>
      <c r="H38" s="43">
        <f t="shared" si="8"/>
        <v>393844662.63963383</v>
      </c>
      <c r="I38" s="43">
        <f t="shared" si="8"/>
        <v>435753440.77165025</v>
      </c>
      <c r="J38" s="43">
        <f t="shared" si="8"/>
        <v>483324794.77141041</v>
      </c>
      <c r="K38" s="43">
        <f t="shared" si="8"/>
        <v>537494557.66991234</v>
      </c>
      <c r="L38" s="43">
        <f t="shared" si="8"/>
        <v>599382929.4174993</v>
      </c>
      <c r="M38" s="43">
        <f t="shared" si="8"/>
        <v>670336971.61153889</v>
      </c>
      <c r="N38" s="43">
        <f t="shared" si="8"/>
        <v>751984400.18879056</v>
      </c>
      <c r="O38" s="43">
        <f t="shared" si="8"/>
        <v>846302102.88682079</v>
      </c>
      <c r="P38" s="43">
        <f t="shared" si="8"/>
        <v>955703983.71455252</v>
      </c>
      <c r="Q38" s="43">
        <f t="shared" si="8"/>
        <v>1083154364.8633914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8"/>
      <c r="B39" s="8" t="s">
        <v>11</v>
      </c>
      <c r="C39" s="8"/>
      <c r="D39" s="9" t="s">
        <v>12</v>
      </c>
      <c r="E39" s="8"/>
      <c r="F39" s="8">
        <f>F5</f>
        <v>75000</v>
      </c>
      <c r="G39" s="8">
        <f>F39</f>
        <v>75000</v>
      </c>
      <c r="H39" s="8">
        <f t="shared" ref="H39:Q39" si="9">G39</f>
        <v>75000</v>
      </c>
      <c r="I39" s="8">
        <f t="shared" si="9"/>
        <v>75000</v>
      </c>
      <c r="J39" s="8">
        <f t="shared" si="9"/>
        <v>75000</v>
      </c>
      <c r="K39" s="8">
        <f t="shared" si="9"/>
        <v>75000</v>
      </c>
      <c r="L39" s="8">
        <f t="shared" si="9"/>
        <v>75000</v>
      </c>
      <c r="M39" s="8">
        <f t="shared" si="9"/>
        <v>75000</v>
      </c>
      <c r="N39" s="8">
        <f t="shared" si="9"/>
        <v>75000</v>
      </c>
      <c r="O39" s="8">
        <f t="shared" si="9"/>
        <v>75000</v>
      </c>
      <c r="P39" s="8">
        <f t="shared" si="9"/>
        <v>75000</v>
      </c>
      <c r="Q39" s="8">
        <f t="shared" si="9"/>
        <v>75000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8"/>
      <c r="B40" s="8" t="s">
        <v>35</v>
      </c>
      <c r="C40" s="8"/>
      <c r="D40" s="9" t="s">
        <v>101</v>
      </c>
      <c r="E40" s="8"/>
      <c r="F40" s="17">
        <f>PI()</f>
        <v>3.1415926535897931</v>
      </c>
      <c r="G40" s="17">
        <f>PI()</f>
        <v>3.1415926535897931</v>
      </c>
      <c r="H40" s="17">
        <f>PI()</f>
        <v>3.1415926535897931</v>
      </c>
      <c r="I40" s="17">
        <f>PI()</f>
        <v>3.1415926535897931</v>
      </c>
      <c r="J40" s="17">
        <f>PI()</f>
        <v>3.1415926535897931</v>
      </c>
      <c r="K40" s="17">
        <f>PI()</f>
        <v>3.1415926535897931</v>
      </c>
      <c r="L40" s="17">
        <f>PI()</f>
        <v>3.1415926535897931</v>
      </c>
      <c r="M40" s="17">
        <f>PI()</f>
        <v>3.1415926535897931</v>
      </c>
      <c r="N40" s="17">
        <f>PI()</f>
        <v>3.1415926535897931</v>
      </c>
      <c r="O40" s="17">
        <f>PI()</f>
        <v>3.1415926535897931</v>
      </c>
      <c r="P40" s="17">
        <f>PI()</f>
        <v>3.1415926535897931</v>
      </c>
      <c r="Q40" s="17">
        <f>PI()</f>
        <v>3.1415926535897931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>
      <c r="A41" s="8"/>
      <c r="B41" s="8" t="s">
        <v>94</v>
      </c>
      <c r="C41" s="8"/>
      <c r="D41" s="9" t="s">
        <v>101</v>
      </c>
      <c r="E41" s="8"/>
      <c r="F41" s="17">
        <f>F8</f>
        <v>9.3983739837398375</v>
      </c>
      <c r="G41" s="17">
        <f>F41</f>
        <v>9.3983739837398375</v>
      </c>
      <c r="H41" s="17">
        <f t="shared" ref="H41:Q41" si="10">G41</f>
        <v>9.3983739837398375</v>
      </c>
      <c r="I41" s="17">
        <f t="shared" si="10"/>
        <v>9.3983739837398375</v>
      </c>
      <c r="J41" s="17">
        <f t="shared" si="10"/>
        <v>9.3983739837398375</v>
      </c>
      <c r="K41" s="17">
        <f t="shared" si="10"/>
        <v>9.3983739837398375</v>
      </c>
      <c r="L41" s="17">
        <f t="shared" si="10"/>
        <v>9.3983739837398375</v>
      </c>
      <c r="M41" s="17">
        <f t="shared" si="10"/>
        <v>9.3983739837398375</v>
      </c>
      <c r="N41" s="17">
        <f t="shared" si="10"/>
        <v>9.3983739837398375</v>
      </c>
      <c r="O41" s="17">
        <f t="shared" si="10"/>
        <v>9.3983739837398375</v>
      </c>
      <c r="P41" s="17">
        <f t="shared" si="10"/>
        <v>9.3983739837398375</v>
      </c>
      <c r="Q41" s="17">
        <f t="shared" si="10"/>
        <v>9.3983739837398375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>
      <c r="A42" s="8"/>
      <c r="B42" s="8" t="s">
        <v>18</v>
      </c>
      <c r="C42" s="8"/>
      <c r="D42" s="9" t="s">
        <v>101</v>
      </c>
      <c r="E42" s="8"/>
      <c r="F42" s="17">
        <f>F10</f>
        <v>0.75</v>
      </c>
      <c r="G42" s="17">
        <f>F42</f>
        <v>0.75</v>
      </c>
      <c r="H42" s="17">
        <f t="shared" ref="H42:Q42" si="11">G42</f>
        <v>0.75</v>
      </c>
      <c r="I42" s="17">
        <f t="shared" si="11"/>
        <v>0.75</v>
      </c>
      <c r="J42" s="17">
        <f t="shared" si="11"/>
        <v>0.75</v>
      </c>
      <c r="K42" s="17">
        <f t="shared" si="11"/>
        <v>0.75</v>
      </c>
      <c r="L42" s="17">
        <f t="shared" si="11"/>
        <v>0.75</v>
      </c>
      <c r="M42" s="17">
        <f t="shared" si="11"/>
        <v>0.75</v>
      </c>
      <c r="N42" s="17">
        <f t="shared" si="11"/>
        <v>0.75</v>
      </c>
      <c r="O42" s="17">
        <f t="shared" si="11"/>
        <v>0.75</v>
      </c>
      <c r="P42" s="17">
        <f t="shared" si="11"/>
        <v>0.75</v>
      </c>
      <c r="Q42" s="17">
        <f t="shared" si="11"/>
        <v>0.75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8"/>
      <c r="B43" s="8"/>
      <c r="C43" s="8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40" t="s">
        <v>19</v>
      </c>
      <c r="B44" s="40"/>
      <c r="C44" s="40"/>
      <c r="D44" s="41" t="s">
        <v>56</v>
      </c>
      <c r="E44" s="40"/>
      <c r="F44" s="42">
        <f>SQRT((1/(6*F35))*(F46+SQRT(F46^2+12*F35*F38)))</f>
        <v>235.78161669639826</v>
      </c>
      <c r="G44" s="42">
        <f t="shared" ref="G44:Q44" si="12">SQRT((1/(6*G35))*(G46+SQRT(G46^2+12*G35*G38)))</f>
        <v>237.14352884172152</v>
      </c>
      <c r="H44" s="42">
        <f t="shared" si="12"/>
        <v>238.47041809514459</v>
      </c>
      <c r="I44" s="42">
        <f t="shared" si="12"/>
        <v>239.80480181949304</v>
      </c>
      <c r="J44" s="42">
        <f t="shared" si="12"/>
        <v>241.19542888470377</v>
      </c>
      <c r="K44" s="42">
        <f t="shared" si="12"/>
        <v>242.69957270479651</v>
      </c>
      <c r="L44" s="42">
        <f t="shared" si="12"/>
        <v>244.38551309726799</v>
      </c>
      <c r="M44" s="42">
        <f t="shared" si="12"/>
        <v>246.33515658338104</v>
      </c>
      <c r="N44" s="42">
        <f t="shared" si="12"/>
        <v>248.64666531265965</v>
      </c>
      <c r="O44" s="42">
        <f t="shared" si="12"/>
        <v>251.43688360116144</v>
      </c>
      <c r="P44" s="42">
        <f t="shared" si="12"/>
        <v>254.84329832157792</v>
      </c>
      <c r="Q44" s="42">
        <f t="shared" si="12"/>
        <v>259.02529278107613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8"/>
      <c r="B45" s="8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40" t="s">
        <v>20</v>
      </c>
      <c r="B46" s="40" t="s">
        <v>39</v>
      </c>
      <c r="C46" s="40"/>
      <c r="D46" s="41" t="s">
        <v>58</v>
      </c>
      <c r="E46" s="40"/>
      <c r="F46" s="43">
        <f>(F47*F51/(1+F52)*(SQRT(2/(F24-1)*(F53-F54*(F55-1+F52*(F56-1))-F53/(F54*F55)))+F52*SQRT(2/(F24-1)*(F54*F56-1))-F50*(1+F52)))*2</f>
        <v>245466.09590388165</v>
      </c>
      <c r="G46" s="43">
        <f t="shared" ref="G46:Q46" si="13">(G47*G51/(1+G52)*(SQRT(2/(G24-1)*(G53-G54*(G55-1+G52*(G56-1))-G53/(G54*G55)))+G52*SQRT(2/(G24-1)*(G54*G56-1))-G50*(1+G52)))*2</f>
        <v>224337.07280394292</v>
      </c>
      <c r="H46" s="43">
        <f t="shared" si="13"/>
        <v>204279.1875288033</v>
      </c>
      <c r="I46" s="43">
        <f t="shared" si="13"/>
        <v>185335.91516841698</v>
      </c>
      <c r="J46" s="43">
        <f t="shared" si="13"/>
        <v>167530.59099670497</v>
      </c>
      <c r="K46" s="43">
        <f t="shared" si="13"/>
        <v>150870.22172460365</v>
      </c>
      <c r="L46" s="43">
        <f t="shared" si="13"/>
        <v>135348.54233053463</v>
      </c>
      <c r="M46" s="43">
        <f t="shared" si="13"/>
        <v>120948.50419795144</v>
      </c>
      <c r="N46" s="43">
        <f t="shared" si="13"/>
        <v>107644.32621721289</v>
      </c>
      <c r="O46" s="43">
        <f t="shared" si="13"/>
        <v>95403.204142991613</v>
      </c>
      <c r="P46" s="43">
        <f t="shared" si="13"/>
        <v>84186.74847618182</v>
      </c>
      <c r="Q46" s="43">
        <f t="shared" si="13"/>
        <v>73952.20356609876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6.5">
      <c r="A47" s="8"/>
      <c r="B47" s="8" t="s">
        <v>72</v>
      </c>
      <c r="C47" s="8"/>
      <c r="D47" s="9"/>
      <c r="E47" s="8"/>
      <c r="F47" s="17">
        <f>F27/SQRT(F28)*F48*SQRT(F24/F25)*F49*((1+(F24-1)/2*F50^2)/(1+(F24-1)/2*F48^2))^(0.5*((F24+1)/(F24-1)))</f>
        <v>666.6054047828967</v>
      </c>
      <c r="G47" s="17">
        <f t="shared" ref="G47:Q47" si="14">G27/SQRT(G28)*G48*SQRT(G24/G25)*G49*((1+(G24-1)/2*G50^2)/(1+(G24-1)/2*G48^2))^(0.5*((G24+1)/(G24-1)))</f>
        <v>598.05886154983364</v>
      </c>
      <c r="H47" s="17">
        <f t="shared" si="14"/>
        <v>535.20316379419978</v>
      </c>
      <c r="I47" s="17">
        <f t="shared" si="14"/>
        <v>477.68371976262983</v>
      </c>
      <c r="J47" s="17">
        <f t="shared" si="14"/>
        <v>425.16034405771433</v>
      </c>
      <c r="K47" s="17">
        <f t="shared" si="14"/>
        <v>377.306999646365</v>
      </c>
      <c r="L47" s="17">
        <f t="shared" si="14"/>
        <v>333.81153833897838</v>
      </c>
      <c r="M47" s="17">
        <f t="shared" si="14"/>
        <v>294.3754396920794</v>
      </c>
      <c r="N47" s="17">
        <f t="shared" si="14"/>
        <v>258.71354828435875</v>
      </c>
      <c r="O47" s="17">
        <f t="shared" si="14"/>
        <v>226.5538093131135</v>
      </c>
      <c r="P47" s="17">
        <f t="shared" si="14"/>
        <v>197.63700245488511</v>
      </c>
      <c r="Q47" s="17">
        <f t="shared" si="14"/>
        <v>171.71647393059828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6.5">
      <c r="A48" s="8"/>
      <c r="B48" s="8"/>
      <c r="C48" s="8" t="s">
        <v>73</v>
      </c>
      <c r="D48" s="9" t="s">
        <v>101</v>
      </c>
      <c r="E48" s="8"/>
      <c r="F48" s="17">
        <f>F12</f>
        <v>0.75</v>
      </c>
      <c r="G48" s="17">
        <f>F48</f>
        <v>0.75</v>
      </c>
      <c r="H48" s="17">
        <f t="shared" ref="H48:Q48" si="15">G48</f>
        <v>0.75</v>
      </c>
      <c r="I48" s="17">
        <f t="shared" si="15"/>
        <v>0.75</v>
      </c>
      <c r="J48" s="17">
        <f t="shared" si="15"/>
        <v>0.75</v>
      </c>
      <c r="K48" s="17">
        <f t="shared" si="15"/>
        <v>0.75</v>
      </c>
      <c r="L48" s="17">
        <f t="shared" si="15"/>
        <v>0.75</v>
      </c>
      <c r="M48" s="17">
        <f t="shared" si="15"/>
        <v>0.75</v>
      </c>
      <c r="N48" s="17">
        <f t="shared" si="15"/>
        <v>0.75</v>
      </c>
      <c r="O48" s="17">
        <f t="shared" si="15"/>
        <v>0.75</v>
      </c>
      <c r="P48" s="17">
        <f t="shared" si="15"/>
        <v>0.75</v>
      </c>
      <c r="Q48" s="17">
        <f t="shared" si="15"/>
        <v>0.75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8.75">
      <c r="A49" s="8"/>
      <c r="B49" s="8"/>
      <c r="C49" s="8" t="s">
        <v>106</v>
      </c>
      <c r="D49" s="9" t="s">
        <v>60</v>
      </c>
      <c r="E49" s="8"/>
      <c r="F49" s="17">
        <f>F17</f>
        <v>2.0106192982974678</v>
      </c>
      <c r="G49" s="17">
        <f>F49</f>
        <v>2.0106192982974678</v>
      </c>
      <c r="H49" s="17">
        <f t="shared" ref="H49:Q49" si="16">G49</f>
        <v>2.0106192982974678</v>
      </c>
      <c r="I49" s="17">
        <f t="shared" si="16"/>
        <v>2.0106192982974678</v>
      </c>
      <c r="J49" s="17">
        <f t="shared" si="16"/>
        <v>2.0106192982974678</v>
      </c>
      <c r="K49" s="17">
        <f t="shared" si="16"/>
        <v>2.0106192982974678</v>
      </c>
      <c r="L49" s="17">
        <f t="shared" si="16"/>
        <v>2.0106192982974678</v>
      </c>
      <c r="M49" s="17">
        <f t="shared" si="16"/>
        <v>2.0106192982974678</v>
      </c>
      <c r="N49" s="17">
        <f t="shared" si="16"/>
        <v>2.0106192982974678</v>
      </c>
      <c r="O49" s="17">
        <f t="shared" si="16"/>
        <v>2.0106192982974678</v>
      </c>
      <c r="P49" s="17">
        <f t="shared" si="16"/>
        <v>2.0106192982974678</v>
      </c>
      <c r="Q49" s="17">
        <f t="shared" si="16"/>
        <v>2.0106192982974678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6.5">
      <c r="A50" s="8"/>
      <c r="B50" s="8"/>
      <c r="C50" s="8" t="s">
        <v>74</v>
      </c>
      <c r="D50" s="9" t="s">
        <v>101</v>
      </c>
      <c r="E50" s="8"/>
      <c r="F50" s="17">
        <f>F11</f>
        <v>0.82</v>
      </c>
      <c r="G50" s="17">
        <f>F50</f>
        <v>0.82</v>
      </c>
      <c r="H50" s="17">
        <f t="shared" ref="H50:Q50" si="17">G50</f>
        <v>0.82</v>
      </c>
      <c r="I50" s="17">
        <f t="shared" si="17"/>
        <v>0.82</v>
      </c>
      <c r="J50" s="17">
        <f t="shared" si="17"/>
        <v>0.82</v>
      </c>
      <c r="K50" s="17">
        <f t="shared" si="17"/>
        <v>0.82</v>
      </c>
      <c r="L50" s="17">
        <f t="shared" si="17"/>
        <v>0.82</v>
      </c>
      <c r="M50" s="17">
        <f t="shared" si="17"/>
        <v>0.82</v>
      </c>
      <c r="N50" s="17">
        <f t="shared" si="17"/>
        <v>0.82</v>
      </c>
      <c r="O50" s="17">
        <f t="shared" si="17"/>
        <v>0.82</v>
      </c>
      <c r="P50" s="17">
        <f t="shared" si="17"/>
        <v>0.82</v>
      </c>
      <c r="Q50" s="17">
        <f t="shared" si="17"/>
        <v>0.82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6.5">
      <c r="A51" s="8"/>
      <c r="B51" s="8" t="s">
        <v>75</v>
      </c>
      <c r="C51" s="8"/>
      <c r="D51" s="9" t="s">
        <v>56</v>
      </c>
      <c r="E51" s="8"/>
      <c r="F51" s="17">
        <f>SQRT(F24*F25*F28)</f>
        <v>340.29643602306504</v>
      </c>
      <c r="G51" s="17">
        <f t="shared" ref="G51:Q51" si="18">SQRT(G24*G25*G28)</f>
        <v>336.43639171468948</v>
      </c>
      <c r="H51" s="17">
        <f t="shared" si="18"/>
        <v>332.53154281962486</v>
      </c>
      <c r="I51" s="17">
        <f t="shared" si="18"/>
        <v>328.58029196834065</v>
      </c>
      <c r="J51" s="17">
        <f t="shared" si="18"/>
        <v>324.58094455774818</v>
      </c>
      <c r="K51" s="17">
        <f t="shared" si="18"/>
        <v>320.53170025755639</v>
      </c>
      <c r="L51" s="17">
        <f t="shared" si="18"/>
        <v>316.43064353820091</v>
      </c>
      <c r="M51" s="17">
        <f t="shared" si="18"/>
        <v>312.27573307895699</v>
      </c>
      <c r="N51" s="17">
        <f t="shared" si="18"/>
        <v>308.06478989004893</v>
      </c>
      <c r="O51" s="17">
        <f t="shared" si="18"/>
        <v>303.79548395260912</v>
      </c>
      <c r="P51" s="17">
        <f t="shared" si="18"/>
        <v>299.46531914397031</v>
      </c>
      <c r="Q51" s="17">
        <f t="shared" si="18"/>
        <v>295.07161617139661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8"/>
      <c r="B52" s="8" t="s">
        <v>36</v>
      </c>
      <c r="C52" s="8"/>
      <c r="D52" s="9" t="s">
        <v>101</v>
      </c>
      <c r="E52" s="8"/>
      <c r="F52" s="8">
        <f>F13</f>
        <v>4.5999999999999996</v>
      </c>
      <c r="G52" s="8">
        <f>F52</f>
        <v>4.5999999999999996</v>
      </c>
      <c r="H52" s="8">
        <f t="shared" ref="H52:Q52" si="19">G52</f>
        <v>4.5999999999999996</v>
      </c>
      <c r="I52" s="8">
        <f t="shared" si="19"/>
        <v>4.5999999999999996</v>
      </c>
      <c r="J52" s="8">
        <f t="shared" si="19"/>
        <v>4.5999999999999996</v>
      </c>
      <c r="K52" s="8">
        <f t="shared" si="19"/>
        <v>4.5999999999999996</v>
      </c>
      <c r="L52" s="8">
        <f t="shared" si="19"/>
        <v>4.5999999999999996</v>
      </c>
      <c r="M52" s="8">
        <f t="shared" si="19"/>
        <v>4.5999999999999996</v>
      </c>
      <c r="N52" s="8">
        <f t="shared" si="19"/>
        <v>4.5999999999999996</v>
      </c>
      <c r="O52" s="8">
        <f t="shared" si="19"/>
        <v>4.5999999999999996</v>
      </c>
      <c r="P52" s="8">
        <f t="shared" si="19"/>
        <v>4.5999999999999996</v>
      </c>
      <c r="Q52" s="8">
        <f t="shared" si="19"/>
        <v>4.5999999999999996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6.5">
      <c r="A53" s="8"/>
      <c r="B53" s="8" t="s">
        <v>76</v>
      </c>
      <c r="C53" s="8"/>
      <c r="D53" s="9" t="s">
        <v>101</v>
      </c>
      <c r="E53" s="8"/>
      <c r="F53" s="17">
        <f>F57/F28</f>
        <v>4.9453409682457057</v>
      </c>
      <c r="G53" s="17">
        <f t="shared" ref="G53:Q53" si="20">G57/G28</f>
        <v>5.0594709746138831</v>
      </c>
      <c r="H53" s="17">
        <f t="shared" si="20"/>
        <v>5.178993276394694</v>
      </c>
      <c r="I53" s="17">
        <f t="shared" si="20"/>
        <v>5.3042992741485211</v>
      </c>
      <c r="J53" s="17">
        <f t="shared" si="20"/>
        <v>5.4358191874880797</v>
      </c>
      <c r="K53" s="17">
        <f t="shared" si="20"/>
        <v>5.574026990025426</v>
      </c>
      <c r="L53" s="17">
        <f t="shared" si="20"/>
        <v>5.7194461167971111</v>
      </c>
      <c r="M53" s="17">
        <f t="shared" si="20"/>
        <v>5.8726560890171031</v>
      </c>
      <c r="N53" s="17">
        <f t="shared" si="20"/>
        <v>6.034300232902817</v>
      </c>
      <c r="O53" s="17">
        <f t="shared" si="20"/>
        <v>6.2050947093403011</v>
      </c>
      <c r="P53" s="17">
        <f t="shared" si="20"/>
        <v>6.3858391216670407</v>
      </c>
      <c r="Q53" s="17">
        <f t="shared" si="20"/>
        <v>6.5774290330025398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6.5">
      <c r="A54" s="8"/>
      <c r="B54" s="8" t="s">
        <v>77</v>
      </c>
      <c r="C54" s="8"/>
      <c r="D54" s="9" t="s">
        <v>101</v>
      </c>
      <c r="E54" s="8"/>
      <c r="F54" s="17">
        <f>1+0.5*(F24-1)*F50^2</f>
        <v>1.1344799999999999</v>
      </c>
      <c r="G54" s="17">
        <f t="shared" ref="G54:Q54" si="21">1+0.5*(G24-1)*G50^2</f>
        <v>1.1344799999999999</v>
      </c>
      <c r="H54" s="17">
        <f t="shared" si="21"/>
        <v>1.1344799999999999</v>
      </c>
      <c r="I54" s="17">
        <f t="shared" si="21"/>
        <v>1.1344799999999999</v>
      </c>
      <c r="J54" s="17">
        <f t="shared" si="21"/>
        <v>1.1344799999999999</v>
      </c>
      <c r="K54" s="17">
        <f t="shared" si="21"/>
        <v>1.1344799999999999</v>
      </c>
      <c r="L54" s="17">
        <f t="shared" si="21"/>
        <v>1.1344799999999999</v>
      </c>
      <c r="M54" s="17">
        <f t="shared" si="21"/>
        <v>1.1344799999999999</v>
      </c>
      <c r="N54" s="17">
        <f t="shared" si="21"/>
        <v>1.1344799999999999</v>
      </c>
      <c r="O54" s="17">
        <f t="shared" si="21"/>
        <v>1.1344799999999999</v>
      </c>
      <c r="P54" s="17">
        <f t="shared" si="21"/>
        <v>1.1344799999999999</v>
      </c>
      <c r="Q54" s="17">
        <f t="shared" si="21"/>
        <v>1.1344799999999999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6.5">
      <c r="A55" s="8"/>
      <c r="B55" s="8" t="s">
        <v>78</v>
      </c>
      <c r="C55" s="8"/>
      <c r="D55" s="9" t="s">
        <v>101</v>
      </c>
      <c r="E55" s="8"/>
      <c r="F55" s="17">
        <f>F15^((F24-1)/F24)</f>
        <v>2.4185180744682757</v>
      </c>
      <c r="G55" s="17">
        <f>F55</f>
        <v>2.4185180744682757</v>
      </c>
      <c r="H55" s="17">
        <f t="shared" ref="H55:Q55" si="22">G55</f>
        <v>2.4185180744682757</v>
      </c>
      <c r="I55" s="17">
        <f t="shared" si="22"/>
        <v>2.4185180744682757</v>
      </c>
      <c r="J55" s="17">
        <f t="shared" si="22"/>
        <v>2.4185180744682757</v>
      </c>
      <c r="K55" s="17">
        <f t="shared" si="22"/>
        <v>2.4185180744682757</v>
      </c>
      <c r="L55" s="17">
        <f t="shared" si="22"/>
        <v>2.4185180744682757</v>
      </c>
      <c r="M55" s="17">
        <f t="shared" si="22"/>
        <v>2.4185180744682757</v>
      </c>
      <c r="N55" s="17">
        <f t="shared" si="22"/>
        <v>2.4185180744682757</v>
      </c>
      <c r="O55" s="17">
        <f t="shared" si="22"/>
        <v>2.4185180744682757</v>
      </c>
      <c r="P55" s="17">
        <f t="shared" si="22"/>
        <v>2.4185180744682757</v>
      </c>
      <c r="Q55" s="17">
        <f t="shared" si="22"/>
        <v>2.4185180744682757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6.5">
      <c r="A56" s="8"/>
      <c r="B56" s="8" t="s">
        <v>79</v>
      </c>
      <c r="C56" s="8"/>
      <c r="D56" s="9" t="s">
        <v>101</v>
      </c>
      <c r="E56" s="8"/>
      <c r="F56" s="17">
        <f>F16^((F24-1)/F24)</f>
        <v>1.1518182530547612</v>
      </c>
      <c r="G56" s="17">
        <f>F56</f>
        <v>1.1518182530547612</v>
      </c>
      <c r="H56" s="17">
        <f t="shared" ref="H56:Q57" si="23">G56</f>
        <v>1.1518182530547612</v>
      </c>
      <c r="I56" s="17">
        <f t="shared" si="23"/>
        <v>1.1518182530547612</v>
      </c>
      <c r="J56" s="17">
        <f t="shared" si="23"/>
        <v>1.1518182530547612</v>
      </c>
      <c r="K56" s="17">
        <f t="shared" si="23"/>
        <v>1.1518182530547612</v>
      </c>
      <c r="L56" s="17">
        <f t="shared" si="23"/>
        <v>1.1518182530547612</v>
      </c>
      <c r="M56" s="17">
        <f t="shared" si="23"/>
        <v>1.1518182530547612</v>
      </c>
      <c r="N56" s="17">
        <f t="shared" si="23"/>
        <v>1.1518182530547612</v>
      </c>
      <c r="O56" s="17">
        <f t="shared" si="23"/>
        <v>1.1518182530547612</v>
      </c>
      <c r="P56" s="17">
        <f t="shared" si="23"/>
        <v>1.1518182530547612</v>
      </c>
      <c r="Q56" s="17">
        <f t="shared" si="23"/>
        <v>1.1518182530547612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6.5">
      <c r="A57" s="8"/>
      <c r="B57" s="8" t="s">
        <v>80</v>
      </c>
      <c r="C57" s="8"/>
      <c r="D57" s="9" t="s">
        <v>26</v>
      </c>
      <c r="E57" s="8"/>
      <c r="F57" s="17">
        <f>F14</f>
        <v>1425</v>
      </c>
      <c r="G57" s="17">
        <f>F57</f>
        <v>1425</v>
      </c>
      <c r="H57" s="17">
        <f t="shared" si="23"/>
        <v>1425</v>
      </c>
      <c r="I57" s="17">
        <f t="shared" si="23"/>
        <v>1425</v>
      </c>
      <c r="J57" s="17">
        <f t="shared" si="23"/>
        <v>1425</v>
      </c>
      <c r="K57" s="17">
        <f t="shared" si="23"/>
        <v>1425</v>
      </c>
      <c r="L57" s="17">
        <f t="shared" si="23"/>
        <v>1425</v>
      </c>
      <c r="M57" s="17">
        <f t="shared" si="23"/>
        <v>1425</v>
      </c>
      <c r="N57" s="17">
        <f t="shared" si="23"/>
        <v>1425</v>
      </c>
      <c r="O57" s="17">
        <f t="shared" si="23"/>
        <v>1425</v>
      </c>
      <c r="P57" s="17">
        <f t="shared" si="23"/>
        <v>1425</v>
      </c>
      <c r="Q57" s="17">
        <f t="shared" si="23"/>
        <v>1425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8"/>
      <c r="B58" s="8"/>
      <c r="C58" s="8"/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.75" thickBot="1">
      <c r="A59" s="44" t="s">
        <v>21</v>
      </c>
      <c r="B59" s="44"/>
      <c r="C59" s="44"/>
      <c r="D59" s="45" t="s">
        <v>12</v>
      </c>
      <c r="E59" s="44"/>
      <c r="F59" s="46">
        <f>F39*F29</f>
        <v>735204.86237360083</v>
      </c>
      <c r="G59" s="46">
        <f t="shared" ref="G59:Q59" si="24">G39*G29</f>
        <v>734974.44480473478</v>
      </c>
      <c r="H59" s="46">
        <f t="shared" si="24"/>
        <v>734744.13554024801</v>
      </c>
      <c r="I59" s="46">
        <f t="shared" si="24"/>
        <v>734513.93451227539</v>
      </c>
      <c r="J59" s="46">
        <f t="shared" si="24"/>
        <v>734283.84165300464</v>
      </c>
      <c r="K59" s="46">
        <f t="shared" si="24"/>
        <v>734053.85689467716</v>
      </c>
      <c r="L59" s="46">
        <f t="shared" si="24"/>
        <v>733823.98016958695</v>
      </c>
      <c r="M59" s="46">
        <f t="shared" si="24"/>
        <v>733594.21141008078</v>
      </c>
      <c r="N59" s="46">
        <f t="shared" si="24"/>
        <v>733364.55054855917</v>
      </c>
      <c r="O59" s="46">
        <f t="shared" si="24"/>
        <v>733134.99751747458</v>
      </c>
      <c r="P59" s="46">
        <f t="shared" si="24"/>
        <v>732905.55224933324</v>
      </c>
      <c r="Q59" s="46">
        <f t="shared" si="24"/>
        <v>732676.21467669355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8"/>
      <c r="B60" s="8"/>
      <c r="C60" s="8"/>
      <c r="D60" s="2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"/>
      <c r="S60" s="2" t="s">
        <v>46</v>
      </c>
      <c r="T60" s="2"/>
      <c r="U60" s="2">
        <f>(F63-Q63)/(0-Q61)</f>
        <v>-3.6517284225100468E-3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8" t="s">
        <v>8</v>
      </c>
      <c r="B61" s="8"/>
      <c r="C61" s="8"/>
      <c r="D61" s="9" t="s">
        <v>11</v>
      </c>
      <c r="E61" s="8"/>
      <c r="F61" s="8">
        <v>0</v>
      </c>
      <c r="G61" s="8">
        <v>1000</v>
      </c>
      <c r="H61" s="8">
        <v>2000</v>
      </c>
      <c r="I61" s="8">
        <v>3000</v>
      </c>
      <c r="J61" s="8">
        <v>4000</v>
      </c>
      <c r="K61" s="8">
        <v>5000</v>
      </c>
      <c r="L61" s="8">
        <v>6000</v>
      </c>
      <c r="M61" s="8">
        <v>7000</v>
      </c>
      <c r="N61" s="8">
        <v>8000</v>
      </c>
      <c r="O61" s="8">
        <v>9000</v>
      </c>
      <c r="P61" s="8">
        <v>10000</v>
      </c>
      <c r="Q61" s="8">
        <v>11000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8" t="s">
        <v>23</v>
      </c>
      <c r="B62" s="8"/>
      <c r="C62" s="8"/>
      <c r="D62" s="9" t="s">
        <v>56</v>
      </c>
      <c r="E62" s="8"/>
      <c r="F62" s="17">
        <f t="shared" ref="F62:Q62" si="25">(F46*F44-F33*F44)/F59</f>
        <v>49.988886072483687</v>
      </c>
      <c r="G62" s="17">
        <f t="shared" si="25"/>
        <v>45.526141122053602</v>
      </c>
      <c r="H62" s="17">
        <f t="shared" si="25"/>
        <v>41.203870172598343</v>
      </c>
      <c r="I62" s="17">
        <f t="shared" si="25"/>
        <v>37.040557026780171</v>
      </c>
      <c r="J62" s="17">
        <f t="shared" si="25"/>
        <v>33.047954525904451</v>
      </c>
      <c r="K62" s="17">
        <f t="shared" si="25"/>
        <v>29.232041095772274</v>
      </c>
      <c r="L62" s="17">
        <f t="shared" si="25"/>
        <v>25.593783623601343</v>
      </c>
      <c r="M62" s="17">
        <f t="shared" si="25"/>
        <v>22.129754418786334</v>
      </c>
      <c r="N62" s="17">
        <f t="shared" si="25"/>
        <v>18.832638616313133</v>
      </c>
      <c r="O62" s="17">
        <f t="shared" si="25"/>
        <v>15.691660605830783</v>
      </c>
      <c r="P62" s="17">
        <f t="shared" si="25"/>
        <v>12.692951609650965</v>
      </c>
      <c r="Q62" s="17">
        <f t="shared" si="25"/>
        <v>9.8198734248731689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8" t="s">
        <v>45</v>
      </c>
      <c r="B63" s="8"/>
      <c r="C63" s="8"/>
      <c r="D63" s="9" t="s">
        <v>56</v>
      </c>
      <c r="E63" s="8"/>
      <c r="F63" s="17">
        <f>F62</f>
        <v>49.988886072483687</v>
      </c>
      <c r="G63" s="17">
        <f>U60*G61+F63</f>
        <v>46.337157649973641</v>
      </c>
      <c r="H63" s="17">
        <f>U60*H61+F63</f>
        <v>42.685429227463594</v>
      </c>
      <c r="I63" s="17">
        <f>U60*I61+F63</f>
        <v>39.033700804953547</v>
      </c>
      <c r="J63" s="17">
        <f>U60*J61+F63</f>
        <v>35.3819723824435</v>
      </c>
      <c r="K63" s="17">
        <f>U60*K61+F63</f>
        <v>31.730243959933453</v>
      </c>
      <c r="L63" s="17">
        <f>U60*L61+F63</f>
        <v>28.078515537423407</v>
      </c>
      <c r="M63" s="17">
        <f>U60*M61+F63</f>
        <v>24.42678711491336</v>
      </c>
      <c r="N63" s="17">
        <f>U60*N61+F63</f>
        <v>20.775058692403313</v>
      </c>
      <c r="O63" s="17">
        <f>U60*O61+F63</f>
        <v>17.123330269893266</v>
      </c>
      <c r="P63" s="17">
        <f>U60*P61+F63</f>
        <v>13.471601847383219</v>
      </c>
      <c r="Q63" s="17">
        <f>Q62</f>
        <v>9.8198734248731689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8"/>
      <c r="B64" s="8"/>
      <c r="C64" s="8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8" t="s">
        <v>23</v>
      </c>
      <c r="B65" s="8"/>
      <c r="C65" s="8"/>
      <c r="D65" s="9" t="s">
        <v>101</v>
      </c>
      <c r="E65" s="8"/>
      <c r="F65" s="18">
        <f>F62/F62</f>
        <v>1</v>
      </c>
      <c r="G65" s="17">
        <f>G62/F62</f>
        <v>0.91072525713097263</v>
      </c>
      <c r="H65" s="17">
        <f>H62/F62</f>
        <v>0.82426061890742863</v>
      </c>
      <c r="I65" s="17">
        <f>I62/F62</f>
        <v>0.74097584357193935</v>
      </c>
      <c r="J65" s="17">
        <f>J62/F62</f>
        <v>0.66110604021031893</v>
      </c>
      <c r="K65" s="17">
        <f>K62/F62</f>
        <v>0.58477080392201441</v>
      </c>
      <c r="L65" s="17">
        <f>L62/F62</f>
        <v>0.51198947675070128</v>
      </c>
      <c r="M65" s="17">
        <f>M62/F62</f>
        <v>0.44269348964284333</v>
      </c>
      <c r="N65" s="17">
        <f>N62/F62</f>
        <v>0.37673651277217662</v>
      </c>
      <c r="O65" s="17">
        <f>O62/F62</f>
        <v>0.31390298601729066</v>
      </c>
      <c r="P65" s="17">
        <f>P62/F62</f>
        <v>0.25391547215607557</v>
      </c>
      <c r="Q65" s="17">
        <f>Q62/F62</f>
        <v>0.1964411331477639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8" t="s">
        <v>45</v>
      </c>
      <c r="B66" s="8"/>
      <c r="C66" s="8"/>
      <c r="D66" s="9" t="s">
        <v>101</v>
      </c>
      <c r="E66" s="8"/>
      <c r="F66" s="8">
        <f>F65</f>
        <v>1</v>
      </c>
      <c r="G66" s="17">
        <f>U66*G61+1</f>
        <v>0.92694919392252395</v>
      </c>
      <c r="H66" s="17">
        <f>U66*H61+1</f>
        <v>0.85389838784504801</v>
      </c>
      <c r="I66" s="17">
        <f>U66*I61+1</f>
        <v>0.78084758176757196</v>
      </c>
      <c r="J66" s="17">
        <f>U66*J61+1</f>
        <v>0.70779677569009603</v>
      </c>
      <c r="K66" s="17">
        <f>U66*K61+1</f>
        <v>0.63474596961261998</v>
      </c>
      <c r="L66" s="17">
        <f>U66*L61+1</f>
        <v>0.56169516353514393</v>
      </c>
      <c r="M66" s="17">
        <f>U66*M61+1</f>
        <v>0.48864435745766799</v>
      </c>
      <c r="N66" s="17">
        <f>U66*N61+1</f>
        <v>0.41559355138019194</v>
      </c>
      <c r="O66" s="17">
        <f>U66*O61+1</f>
        <v>0.34254274530271589</v>
      </c>
      <c r="P66" s="17">
        <f>U66*P61+1</f>
        <v>0.26949193922523995</v>
      </c>
      <c r="Q66" s="17">
        <f>Q65</f>
        <v>0.1964411331477639</v>
      </c>
      <c r="R66" s="2"/>
      <c r="S66" s="2" t="s">
        <v>42</v>
      </c>
      <c r="T66" s="2"/>
      <c r="U66" s="2">
        <f>(1-Q66)/(0-Q61)</f>
        <v>-7.3050806077476008E-5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>
      <c r="A67" s="8"/>
      <c r="B67" s="8"/>
      <c r="C67" s="8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>
      <c r="A68" s="8" t="s">
        <v>91</v>
      </c>
      <c r="B68" s="8"/>
      <c r="C68" s="8"/>
      <c r="D68" s="9" t="s">
        <v>101</v>
      </c>
      <c r="E68" s="8"/>
      <c r="F68" s="17">
        <f t="shared" ref="F68:Q68" si="26">1/F62</f>
        <v>2.0004446559381297E-2</v>
      </c>
      <c r="G68" s="17">
        <f t="shared" si="26"/>
        <v>2.1965402192095383E-2</v>
      </c>
      <c r="H68" s="17">
        <f t="shared" si="26"/>
        <v>2.4269564868812404E-2</v>
      </c>
      <c r="I68" s="17">
        <f t="shared" si="26"/>
        <v>2.69974341713329E-2</v>
      </c>
      <c r="J68" s="17">
        <f t="shared" si="26"/>
        <v>3.0259058823630239E-2</v>
      </c>
      <c r="K68" s="17">
        <f t="shared" si="26"/>
        <v>3.4209037840488891E-2</v>
      </c>
      <c r="L68" s="17">
        <f t="shared" si="26"/>
        <v>3.9071987741501751E-2</v>
      </c>
      <c r="M68" s="17">
        <f t="shared" si="26"/>
        <v>4.5188029703171158E-2</v>
      </c>
      <c r="N68" s="17">
        <f t="shared" si="26"/>
        <v>5.3099303840184346E-2</v>
      </c>
      <c r="O68" s="17">
        <f t="shared" si="26"/>
        <v>6.3728118082570256E-2</v>
      </c>
      <c r="P68" s="17">
        <f t="shared" si="26"/>
        <v>7.8783881854529364E-2</v>
      </c>
      <c r="Q68" s="17">
        <f t="shared" si="26"/>
        <v>0.10183430648576977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>
      <c r="A69" s="8" t="s">
        <v>92</v>
      </c>
      <c r="B69" s="8"/>
      <c r="C69" s="8"/>
      <c r="D69" s="9" t="s">
        <v>101</v>
      </c>
      <c r="E69" s="8"/>
      <c r="F69" s="17">
        <f t="shared" ref="F69:Q69" si="27">1/F63</f>
        <v>2.0004446559381297E-2</v>
      </c>
      <c r="G69" s="17">
        <f t="shared" si="27"/>
        <v>2.1580952538217867E-2</v>
      </c>
      <c r="H69" s="17">
        <f t="shared" si="27"/>
        <v>2.3427197947832861E-2</v>
      </c>
      <c r="I69" s="17">
        <f t="shared" si="27"/>
        <v>2.5618887765648284E-2</v>
      </c>
      <c r="J69" s="17">
        <f t="shared" si="27"/>
        <v>2.8262980627281227E-2</v>
      </c>
      <c r="K69" s="17">
        <f t="shared" si="27"/>
        <v>3.1515673225290176E-2</v>
      </c>
      <c r="L69" s="17">
        <f t="shared" si="27"/>
        <v>3.5614418385729374E-2</v>
      </c>
      <c r="M69" s="17">
        <f t="shared" si="27"/>
        <v>4.0938662759682665E-2</v>
      </c>
      <c r="N69" s="17">
        <f t="shared" si="27"/>
        <v>4.8134641389276256E-2</v>
      </c>
      <c r="O69" s="17">
        <f t="shared" si="27"/>
        <v>5.8399854715074258E-2</v>
      </c>
      <c r="P69" s="17">
        <f t="shared" si="27"/>
        <v>7.4230222309772623E-2</v>
      </c>
      <c r="Q69" s="17">
        <f t="shared" si="27"/>
        <v>0.10183430648576977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>
      <c r="A70" s="8"/>
      <c r="B70" s="8"/>
      <c r="C70" s="8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>
      <c r="A71" s="51" t="s">
        <v>40</v>
      </c>
      <c r="B71" s="51"/>
      <c r="C71" s="51"/>
      <c r="D71" s="49" t="s">
        <v>100</v>
      </c>
      <c r="E71" s="51"/>
      <c r="F71" s="51">
        <v>0</v>
      </c>
      <c r="G71" s="52">
        <f t="shared" ref="G71:Q71" si="28">F71+((F68+G68)/2)*(G61-F61)</f>
        <v>20.984924375738338</v>
      </c>
      <c r="H71" s="52">
        <f t="shared" si="28"/>
        <v>44.102407906192227</v>
      </c>
      <c r="I71" s="52">
        <f t="shared" si="28"/>
        <v>69.735907426264873</v>
      </c>
      <c r="J71" s="52">
        <f t="shared" si="28"/>
        <v>98.364153923746443</v>
      </c>
      <c r="K71" s="52">
        <f t="shared" si="28"/>
        <v>130.598202255806</v>
      </c>
      <c r="L71" s="52">
        <f t="shared" si="28"/>
        <v>167.23871504680133</v>
      </c>
      <c r="M71" s="52">
        <f t="shared" si="28"/>
        <v>209.36872376913777</v>
      </c>
      <c r="N71" s="52">
        <f t="shared" si="28"/>
        <v>258.51239054081555</v>
      </c>
      <c r="O71" s="52">
        <f t="shared" si="28"/>
        <v>316.92610150219286</v>
      </c>
      <c r="P71" s="52">
        <f t="shared" si="28"/>
        <v>388.18210147074268</v>
      </c>
      <c r="Q71" s="52">
        <f t="shared" si="28"/>
        <v>478.49119564089222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>
      <c r="A72" s="8" t="s">
        <v>44</v>
      </c>
      <c r="B72" s="8"/>
      <c r="C72" s="8"/>
      <c r="D72" s="9" t="s">
        <v>100</v>
      </c>
      <c r="E72" s="8"/>
      <c r="F72" s="8">
        <v>0</v>
      </c>
      <c r="G72" s="17">
        <f t="shared" ref="G72:Q72" si="29">F72+((F69+G69)/2)*(G61-F61)</f>
        <v>20.792699548799579</v>
      </c>
      <c r="H72" s="17">
        <f t="shared" si="29"/>
        <v>43.296774791824944</v>
      </c>
      <c r="I72" s="17">
        <f t="shared" si="29"/>
        <v>67.819817648565518</v>
      </c>
      <c r="J72" s="17">
        <f t="shared" si="29"/>
        <v>94.760751845030271</v>
      </c>
      <c r="K72" s="17">
        <f t="shared" si="29"/>
        <v>124.65007877131598</v>
      </c>
      <c r="L72" s="17">
        <f t="shared" si="29"/>
        <v>158.21512457682576</v>
      </c>
      <c r="M72" s="17">
        <f t="shared" si="29"/>
        <v>196.49166514953177</v>
      </c>
      <c r="N72" s="17">
        <f t="shared" si="29"/>
        <v>241.02831722401123</v>
      </c>
      <c r="O72" s="17">
        <f t="shared" si="29"/>
        <v>294.29556527618649</v>
      </c>
      <c r="P72" s="17">
        <f t="shared" si="29"/>
        <v>360.61060378860992</v>
      </c>
      <c r="Q72" s="17">
        <f t="shared" si="29"/>
        <v>448.64286818638112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>
      <c r="A73" s="8"/>
      <c r="B73" s="8"/>
      <c r="C73" s="8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>
      <c r="A74" s="8" t="s">
        <v>88</v>
      </c>
      <c r="B74" s="8"/>
      <c r="C74" s="8"/>
      <c r="D74" s="9" t="s">
        <v>43</v>
      </c>
      <c r="E74" s="8"/>
      <c r="F74" s="21">
        <f>(F65-F66)/F65*100</f>
        <v>0</v>
      </c>
      <c r="G74" s="21">
        <f t="shared" ref="G74:P74" si="30">(G65-G66)/G65*100</f>
        <v>-1.7814304220200334</v>
      </c>
      <c r="H74" s="21">
        <f t="shared" si="30"/>
        <v>-3.5956793589028604</v>
      </c>
      <c r="I74" s="21">
        <f t="shared" si="30"/>
        <v>-5.3809767945237441</v>
      </c>
      <c r="J74" s="21">
        <f t="shared" si="30"/>
        <v>-7.0625183616418434</v>
      </c>
      <c r="K74" s="21">
        <f t="shared" si="30"/>
        <v>-8.5461116313307421</v>
      </c>
      <c r="L74" s="21">
        <f t="shared" si="30"/>
        <v>-9.7083414877773784</v>
      </c>
      <c r="M74" s="21">
        <f t="shared" si="30"/>
        <v>-10.379838170174343</v>
      </c>
      <c r="N74" s="21">
        <f t="shared" si="30"/>
        <v>-10.314115380558635</v>
      </c>
      <c r="O74" s="21">
        <f t="shared" si="30"/>
        <v>-9.1237613406607316</v>
      </c>
      <c r="P74" s="21">
        <f t="shared" si="30"/>
        <v>-6.1345088335498943</v>
      </c>
      <c r="Q74" s="21">
        <f>(Q65-Q66)/Q65*100</f>
        <v>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>
      <c r="A75" s="51" t="s">
        <v>89</v>
      </c>
      <c r="B75" s="51"/>
      <c r="C75" s="51"/>
      <c r="D75" s="49" t="s">
        <v>43</v>
      </c>
      <c r="E75" s="51"/>
      <c r="F75" s="53">
        <v>0</v>
      </c>
      <c r="G75" s="53">
        <f t="shared" ref="G75:Q75" si="31">(G71-G72)/G71*100</f>
        <v>0.91601391311659408</v>
      </c>
      <c r="H75" s="53">
        <f t="shared" si="31"/>
        <v>1.8267327173629599</v>
      </c>
      <c r="I75" s="53">
        <f t="shared" si="31"/>
        <v>2.7476372623749521</v>
      </c>
      <c r="J75" s="53">
        <f t="shared" si="31"/>
        <v>3.66332849414797</v>
      </c>
      <c r="K75" s="53">
        <f t="shared" si="31"/>
        <v>4.5545217175649064</v>
      </c>
      <c r="L75" s="53">
        <f t="shared" si="31"/>
        <v>5.3956348967703711</v>
      </c>
      <c r="M75" s="53">
        <f t="shared" si="31"/>
        <v>6.150421317849271</v>
      </c>
      <c r="N75" s="53">
        <f t="shared" si="31"/>
        <v>6.7633405424889368</v>
      </c>
      <c r="O75" s="53">
        <f t="shared" si="31"/>
        <v>7.1406350309236952</v>
      </c>
      <c r="P75" s="53">
        <f t="shared" si="31"/>
        <v>7.1027225566737835</v>
      </c>
      <c r="Q75" s="53">
        <f t="shared" si="31"/>
        <v>6.2380097536658274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>
      <c r="A76" s="8"/>
      <c r="B76" s="8"/>
      <c r="C76" s="8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thickBot="1">
      <c r="A77" s="8" t="s">
        <v>52</v>
      </c>
      <c r="B77" s="8"/>
      <c r="C77" s="8"/>
      <c r="D77" s="9" t="s">
        <v>100</v>
      </c>
      <c r="E77" s="8"/>
      <c r="F77" s="8">
        <v>0</v>
      </c>
      <c r="G77" s="17">
        <f t="shared" ref="G77:Q77" si="32">G71-F71</f>
        <v>20.984924375738338</v>
      </c>
      <c r="H77" s="17">
        <f t="shared" si="32"/>
        <v>23.117483530453889</v>
      </c>
      <c r="I77" s="17">
        <f t="shared" si="32"/>
        <v>25.633499520072647</v>
      </c>
      <c r="J77" s="17">
        <f t="shared" si="32"/>
        <v>28.62824649748157</v>
      </c>
      <c r="K77" s="17">
        <f t="shared" si="32"/>
        <v>32.234048332059558</v>
      </c>
      <c r="L77" s="17">
        <f t="shared" si="32"/>
        <v>36.640512790995331</v>
      </c>
      <c r="M77" s="17">
        <f t="shared" si="32"/>
        <v>42.130008722336441</v>
      </c>
      <c r="N77" s="17">
        <f t="shared" si="32"/>
        <v>49.143666771677772</v>
      </c>
      <c r="O77" s="17">
        <f t="shared" si="32"/>
        <v>58.413710961377319</v>
      </c>
      <c r="P77" s="17">
        <f t="shared" si="32"/>
        <v>71.255999968549816</v>
      </c>
      <c r="Q77" s="17">
        <f t="shared" si="32"/>
        <v>90.309094170149535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>
      <c r="A80" s="2"/>
      <c r="B80" s="2"/>
      <c r="C80" s="2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2"/>
      <c r="AF80" s="2"/>
    </row>
    <row r="81" spans="1:32">
      <c r="A81" s="2"/>
      <c r="B81" s="2"/>
      <c r="C81" s="2"/>
      <c r="D81" s="8"/>
      <c r="E81" s="8"/>
      <c r="F81" s="8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2"/>
      <c r="AF81" s="2"/>
    </row>
    <row r="82" spans="1:32">
      <c r="A82" s="2"/>
      <c r="B82" s="2"/>
      <c r="C82" s="2"/>
      <c r="D82" s="8"/>
      <c r="E82" s="8"/>
      <c r="F82" s="8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2"/>
      <c r="AF82" s="2"/>
    </row>
    <row r="83" spans="1:32">
      <c r="A83" s="2"/>
      <c r="B83" s="2"/>
      <c r="C83" s="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2"/>
      <c r="AF83" s="2"/>
    </row>
    <row r="84" spans="1:3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2"/>
      <c r="AF84" s="2"/>
    </row>
    <row r="85" spans="1:32">
      <c r="A85" s="8"/>
      <c r="B85" s="8"/>
      <c r="C85" s="8"/>
      <c r="D85" s="8"/>
      <c r="E85" s="8"/>
      <c r="F85" s="8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2"/>
      <c r="AF85" s="2"/>
    </row>
    <row r="86" spans="1:32">
      <c r="A86" s="8"/>
      <c r="B86" s="8"/>
      <c r="C86" s="8"/>
      <c r="D86" s="8"/>
      <c r="E86" s="8"/>
      <c r="F86" s="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2"/>
      <c r="AF86" s="2"/>
    </row>
    <row r="87" spans="1:3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2"/>
      <c r="AF87" s="2"/>
    </row>
    <row r="88" spans="1:32">
      <c r="A88" s="8"/>
      <c r="B88" s="8"/>
      <c r="C88" s="8"/>
      <c r="D88" s="8"/>
      <c r="E88" s="8"/>
      <c r="F88" s="8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2"/>
      <c r="AF88" s="2"/>
    </row>
    <row r="89" spans="1:32">
      <c r="A89" s="8"/>
      <c r="B89" s="8"/>
      <c r="C89" s="8"/>
      <c r="D89" s="8"/>
      <c r="E89" s="8"/>
      <c r="F89" s="8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2"/>
      <c r="AF89" s="2"/>
    </row>
    <row r="90" spans="1:3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2"/>
      <c r="AF90" s="2"/>
    </row>
    <row r="91" spans="1:3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zoomScale="106" zoomScaleNormal="106" workbookViewId="0">
      <selection activeCell="A3" sqref="A3"/>
    </sheetView>
  </sheetViews>
  <sheetFormatPr baseColWidth="10" defaultRowHeight="15"/>
  <cols>
    <col min="2" max="2" width="12" customWidth="1"/>
    <col min="6" max="6" width="16.140625" bestFit="1" customWidth="1"/>
    <col min="7" max="9" width="16.85546875" bestFit="1" customWidth="1"/>
    <col min="10" max="10" width="16.7109375" customWidth="1"/>
    <col min="11" max="15" width="16.85546875" bestFit="1" customWidth="1"/>
    <col min="16" max="16" width="16.140625" bestFit="1" customWidth="1"/>
    <col min="17" max="17" width="16.7109375" bestFit="1" customWidth="1"/>
    <col min="19" max="19" width="12.85546875" bestFit="1" customWidth="1"/>
    <col min="20" max="20" width="15.85546875" bestFit="1" customWidth="1"/>
  </cols>
  <sheetData>
    <row r="1" spans="1:25" ht="20.25">
      <c r="A1" s="60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>
      <c r="A2" s="61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thickBot="1">
      <c r="A4" s="2"/>
      <c r="B4" s="5" t="s">
        <v>2</v>
      </c>
      <c r="C4" s="5"/>
      <c r="D4" s="5"/>
      <c r="E4" s="5"/>
      <c r="F4" s="5"/>
      <c r="G4" s="5"/>
      <c r="H4" s="2"/>
      <c r="I4" s="2"/>
      <c r="J4" s="5" t="s">
        <v>57</v>
      </c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>
      <c r="A5" s="2"/>
      <c r="B5" s="8" t="s">
        <v>5</v>
      </c>
      <c r="C5" s="8"/>
      <c r="D5" s="8"/>
      <c r="E5" s="8"/>
      <c r="F5" s="22">
        <v>75000</v>
      </c>
      <c r="G5" s="8" t="s">
        <v>12</v>
      </c>
      <c r="H5" s="2"/>
      <c r="I5" s="2"/>
      <c r="J5" s="8" t="s">
        <v>3</v>
      </c>
      <c r="K5" s="8"/>
      <c r="L5" s="22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>
      <c r="A6" s="2"/>
      <c r="B6" s="8" t="s">
        <v>0</v>
      </c>
      <c r="C6" s="8"/>
      <c r="D6" s="8"/>
      <c r="E6" s="8"/>
      <c r="F6" s="23">
        <v>123</v>
      </c>
      <c r="G6" s="8" t="s">
        <v>60</v>
      </c>
      <c r="H6" s="2"/>
      <c r="I6" s="2"/>
      <c r="J6" s="8" t="s">
        <v>33</v>
      </c>
      <c r="K6" s="8"/>
      <c r="L6" s="23">
        <v>1.4</v>
      </c>
      <c r="M6" s="8" t="s">
        <v>101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"/>
      <c r="B7" s="8" t="s">
        <v>22</v>
      </c>
      <c r="C7" s="8"/>
      <c r="D7" s="8"/>
      <c r="E7" s="8"/>
      <c r="F7" s="23">
        <v>34</v>
      </c>
      <c r="G7" s="8" t="s">
        <v>11</v>
      </c>
      <c r="H7" s="2"/>
      <c r="I7" s="2"/>
      <c r="J7" s="8" t="s">
        <v>1</v>
      </c>
      <c r="K7" s="8"/>
      <c r="L7" s="23">
        <v>287.05700000000002</v>
      </c>
      <c r="M7" s="8" t="s">
        <v>13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>
      <c r="A8" s="2"/>
      <c r="B8" s="8" t="s">
        <v>95</v>
      </c>
      <c r="C8" s="8"/>
      <c r="D8" s="8"/>
      <c r="E8" s="8"/>
      <c r="F8" s="23">
        <f>F7^2/F6</f>
        <v>9.3983739837398375</v>
      </c>
      <c r="G8" s="8" t="s">
        <v>101</v>
      </c>
      <c r="H8" s="2"/>
      <c r="I8" s="2"/>
      <c r="J8" s="8"/>
      <c r="K8" s="8"/>
      <c r="L8" s="23"/>
      <c r="M8" s="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5">
      <c r="A9" s="2"/>
      <c r="B9" s="8" t="s">
        <v>110</v>
      </c>
      <c r="C9" s="8"/>
      <c r="D9" s="8"/>
      <c r="E9" s="8"/>
      <c r="F9" s="23">
        <v>0.02</v>
      </c>
      <c r="G9" s="8" t="s">
        <v>101</v>
      </c>
      <c r="H9" s="2"/>
      <c r="I9" s="2"/>
      <c r="J9" s="8" t="s">
        <v>61</v>
      </c>
      <c r="K9" s="8"/>
      <c r="L9" s="23">
        <f>2.2558*10^-5</f>
        <v>2.2558E-5</v>
      </c>
      <c r="M9" s="55" t="s">
        <v>113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2"/>
      <c r="B10" s="8" t="s">
        <v>6</v>
      </c>
      <c r="C10" s="8"/>
      <c r="D10" s="8"/>
      <c r="E10" s="8"/>
      <c r="F10" s="23">
        <v>0.75</v>
      </c>
      <c r="G10" s="8" t="s">
        <v>101</v>
      </c>
      <c r="H10" s="2"/>
      <c r="I10" s="2"/>
      <c r="J10" s="8" t="s">
        <v>9</v>
      </c>
      <c r="K10" s="8"/>
      <c r="L10" s="23">
        <f>6.67248*10^-11</f>
        <v>6.6724799999999995E-11</v>
      </c>
      <c r="M10" s="8" t="s">
        <v>112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5">
      <c r="A11" s="2"/>
      <c r="B11" s="8" t="s">
        <v>62</v>
      </c>
      <c r="C11" s="8"/>
      <c r="D11" s="8"/>
      <c r="E11" s="8"/>
      <c r="F11" s="23">
        <v>0.82</v>
      </c>
      <c r="G11" s="8" t="s">
        <v>101</v>
      </c>
      <c r="H11" s="2"/>
      <c r="I11" s="2"/>
      <c r="J11" s="8" t="s">
        <v>10</v>
      </c>
      <c r="K11" s="8"/>
      <c r="L11" s="23">
        <f>6.38*10^6</f>
        <v>6380000</v>
      </c>
      <c r="M11" s="8" t="s">
        <v>11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7.25" thickBot="1">
      <c r="A12" s="2"/>
      <c r="B12" s="8" t="s">
        <v>65</v>
      </c>
      <c r="C12" s="8"/>
      <c r="D12" s="8"/>
      <c r="E12" s="8"/>
      <c r="F12" s="23">
        <v>4.5999999999999996</v>
      </c>
      <c r="G12" s="8" t="s">
        <v>101</v>
      </c>
      <c r="H12" s="2"/>
      <c r="I12" s="2"/>
      <c r="J12" s="13" t="s">
        <v>63</v>
      </c>
      <c r="K12" s="13"/>
      <c r="L12" s="24">
        <f>5.98*10^24</f>
        <v>5.9800000000000005E+24</v>
      </c>
      <c r="M12" s="13" t="s">
        <v>12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6.5">
      <c r="A13" s="2"/>
      <c r="B13" s="8" t="s">
        <v>108</v>
      </c>
      <c r="C13" s="8"/>
      <c r="D13" s="8"/>
      <c r="E13" s="8"/>
      <c r="F13" s="23">
        <v>150000</v>
      </c>
      <c r="G13" s="8" t="s">
        <v>58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thickBot="1">
      <c r="A14" s="2"/>
      <c r="B14" s="13" t="s">
        <v>32</v>
      </c>
      <c r="C14" s="13"/>
      <c r="D14" s="13"/>
      <c r="E14" s="13"/>
      <c r="F14" s="24">
        <v>2.2999999999999998</v>
      </c>
      <c r="G14" s="13" t="s">
        <v>11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15" t="s">
        <v>8</v>
      </c>
      <c r="B23" s="15"/>
      <c r="C23" s="15"/>
      <c r="D23" s="16" t="s">
        <v>11</v>
      </c>
      <c r="E23" s="15"/>
      <c r="F23" s="15">
        <v>0</v>
      </c>
      <c r="G23" s="15">
        <v>1000</v>
      </c>
      <c r="H23" s="15">
        <v>2000</v>
      </c>
      <c r="I23" s="15">
        <v>3000</v>
      </c>
      <c r="J23" s="15">
        <v>4000</v>
      </c>
      <c r="K23" s="15">
        <v>5000</v>
      </c>
      <c r="L23" s="15">
        <v>6000</v>
      </c>
      <c r="M23" s="15">
        <v>7000</v>
      </c>
      <c r="N23" s="15">
        <v>8000</v>
      </c>
      <c r="O23" s="15">
        <v>9000</v>
      </c>
      <c r="P23" s="15">
        <v>10000</v>
      </c>
      <c r="Q23" s="15">
        <v>11000</v>
      </c>
      <c r="R23" s="2"/>
      <c r="S23" s="2"/>
      <c r="T23" s="2"/>
      <c r="U23" s="2"/>
      <c r="V23" s="2"/>
      <c r="W23" s="2"/>
      <c r="X23" s="2"/>
      <c r="Y23" s="2"/>
    </row>
    <row r="24" spans="1:25">
      <c r="A24" s="25" t="s">
        <v>33</v>
      </c>
      <c r="B24" s="25"/>
      <c r="C24" s="25"/>
      <c r="D24" s="26" t="s">
        <v>101</v>
      </c>
      <c r="E24" s="25"/>
      <c r="F24" s="25">
        <f>L6</f>
        <v>1.4</v>
      </c>
      <c r="G24" s="25">
        <f>F24</f>
        <v>1.4</v>
      </c>
      <c r="H24" s="25">
        <f t="shared" ref="H24:Q24" si="0">G24</f>
        <v>1.4</v>
      </c>
      <c r="I24" s="25">
        <f t="shared" si="0"/>
        <v>1.4</v>
      </c>
      <c r="J24" s="25">
        <f t="shared" si="0"/>
        <v>1.4</v>
      </c>
      <c r="K24" s="25">
        <f t="shared" si="0"/>
        <v>1.4</v>
      </c>
      <c r="L24" s="25">
        <f t="shared" si="0"/>
        <v>1.4</v>
      </c>
      <c r="M24" s="25">
        <f t="shared" si="0"/>
        <v>1.4</v>
      </c>
      <c r="N24" s="25">
        <f t="shared" si="0"/>
        <v>1.4</v>
      </c>
      <c r="O24" s="25">
        <f t="shared" si="0"/>
        <v>1.4</v>
      </c>
      <c r="P24" s="25">
        <f t="shared" si="0"/>
        <v>1.4</v>
      </c>
      <c r="Q24" s="25">
        <f t="shared" si="0"/>
        <v>1.4</v>
      </c>
      <c r="R24" s="2"/>
      <c r="S24" s="2"/>
      <c r="T24" s="2"/>
      <c r="U24" s="2"/>
      <c r="V24" s="2"/>
      <c r="W24" s="2"/>
      <c r="X24" s="2"/>
      <c r="Y24" s="2"/>
    </row>
    <row r="25" spans="1:25">
      <c r="A25" s="8" t="s">
        <v>4</v>
      </c>
      <c r="B25" s="8"/>
      <c r="C25" s="8"/>
      <c r="D25" s="9" t="s">
        <v>13</v>
      </c>
      <c r="E25" s="8"/>
      <c r="F25" s="8">
        <f>L7</f>
        <v>287.05700000000002</v>
      </c>
      <c r="G25" s="8">
        <f>F25</f>
        <v>287.05700000000002</v>
      </c>
      <c r="H25" s="8">
        <f t="shared" ref="H25:Q25" si="1">G25</f>
        <v>287.05700000000002</v>
      </c>
      <c r="I25" s="8">
        <f t="shared" si="1"/>
        <v>287.05700000000002</v>
      </c>
      <c r="J25" s="8">
        <f t="shared" si="1"/>
        <v>287.05700000000002</v>
      </c>
      <c r="K25" s="8">
        <f t="shared" si="1"/>
        <v>287.05700000000002</v>
      </c>
      <c r="L25" s="8">
        <f t="shared" si="1"/>
        <v>287.05700000000002</v>
      </c>
      <c r="M25" s="8">
        <f t="shared" si="1"/>
        <v>287.05700000000002</v>
      </c>
      <c r="N25" s="8">
        <f t="shared" si="1"/>
        <v>287.05700000000002</v>
      </c>
      <c r="O25" s="8">
        <f t="shared" si="1"/>
        <v>287.05700000000002</v>
      </c>
      <c r="P25" s="8">
        <f t="shared" si="1"/>
        <v>287.05700000000002</v>
      </c>
      <c r="Q25" s="8">
        <f t="shared" si="1"/>
        <v>287.05700000000002</v>
      </c>
      <c r="R25" s="2"/>
      <c r="S25" s="2"/>
      <c r="T25" s="2"/>
      <c r="U25" s="2"/>
      <c r="V25" s="2"/>
      <c r="W25" s="2"/>
      <c r="X25" s="2"/>
      <c r="Y25" s="2"/>
    </row>
    <row r="26" spans="1:25" ht="18">
      <c r="A26" s="8" t="s">
        <v>69</v>
      </c>
      <c r="B26" s="8"/>
      <c r="C26" s="8"/>
      <c r="D26" s="9" t="s">
        <v>111</v>
      </c>
      <c r="E26" s="8"/>
      <c r="F26" s="17">
        <f>1.225*(1-L9*F23)^4.25588</f>
        <v>1.2250000000000001</v>
      </c>
      <c r="G26" s="17">
        <f>1.225*(1-L9*G23)^4.25588</f>
        <v>1.1116410059684421</v>
      </c>
      <c r="H26" s="17">
        <f>1.225*(1-L9*H23)^4.25588</f>
        <v>1.0064873432666894</v>
      </c>
      <c r="I26" s="17">
        <f>1.225*(1-L9*I23)^4.25588</f>
        <v>0.90911804665890827</v>
      </c>
      <c r="J26" s="17">
        <f>1.225*(1-L9*J23)^4.25588</f>
        <v>0.81912445706567716</v>
      </c>
      <c r="K26" s="17">
        <f>1.225*(1-L9*K23)^4.25588</f>
        <v>0.73611014650140227</v>
      </c>
      <c r="L26" s="17">
        <f>1.225*(1-L9*L23)^4.25588</f>
        <v>0.65969084164738856</v>
      </c>
      <c r="M26" s="17">
        <f>1.225*(1-L9*M23)^4.25588</f>
        <v>0.58949434600097872</v>
      </c>
      <c r="N26" s="17">
        <f>1.225*(1-L9*N23)^4.25588</f>
        <v>0.52516046053695253</v>
      </c>
      <c r="O26" s="17">
        <f>1.225*(1-L9*O23)^4.25588</f>
        <v>0.46634090281278195</v>
      </c>
      <c r="P26" s="17">
        <f>1.225*(1-L9*P23)^4.25588</f>
        <v>0.41269922444423646</v>
      </c>
      <c r="Q26" s="17">
        <f>1.225*(1-L9*Q23)^4.25588</f>
        <v>0.36391072687221748</v>
      </c>
      <c r="R26" s="2"/>
      <c r="S26" s="2"/>
      <c r="T26" s="2"/>
      <c r="U26" s="2"/>
      <c r="V26" s="2"/>
      <c r="W26" s="2"/>
      <c r="X26" s="2"/>
      <c r="Y26" s="2"/>
    </row>
    <row r="27" spans="1:25">
      <c r="A27" s="8" t="s">
        <v>34</v>
      </c>
      <c r="B27" s="8"/>
      <c r="C27" s="8"/>
      <c r="D27" s="27" t="s">
        <v>102</v>
      </c>
      <c r="E27" s="8"/>
      <c r="F27" s="18">
        <f>(8.9621474842-0.0002021654*F23)^5.2558306254</f>
        <v>101325.00000088572</v>
      </c>
      <c r="G27" s="18">
        <f t="shared" ref="G27:Q27" si="2">(8.9621474842-0.0002021654*G23)^5.2558306254</f>
        <v>89874.663524538017</v>
      </c>
      <c r="H27" s="18">
        <f t="shared" si="2"/>
        <v>79495.381984628548</v>
      </c>
      <c r="I27" s="18">
        <f t="shared" si="2"/>
        <v>70108.767510416699</v>
      </c>
      <c r="J27" s="18">
        <f t="shared" si="2"/>
        <v>61640.499700318927</v>
      </c>
      <c r="K27" s="18">
        <f t="shared" si="2"/>
        <v>54020.205324521725</v>
      </c>
      <c r="L27" s="18">
        <f t="shared" si="2"/>
        <v>47181.338770084076</v>
      </c>
      <c r="M27" s="18">
        <f t="shared" si="2"/>
        <v>41061.063242198135</v>
      </c>
      <c r="N27" s="18">
        <f t="shared" si="2"/>
        <v>35600.132735873492</v>
      </c>
      <c r="O27" s="18">
        <f t="shared" si="2"/>
        <v>30742.774792963755</v>
      </c>
      <c r="P27" s="18">
        <f t="shared" si="2"/>
        <v>26436.574060147057</v>
      </c>
      <c r="Q27" s="18">
        <f t="shared" si="2"/>
        <v>22632.356664219718</v>
      </c>
      <c r="R27" s="2"/>
      <c r="S27" s="2"/>
      <c r="T27" s="2"/>
      <c r="U27" s="2"/>
      <c r="V27" s="2"/>
      <c r="W27" s="2"/>
      <c r="X27" s="2"/>
      <c r="Y27" s="2"/>
    </row>
    <row r="28" spans="1:25">
      <c r="A28" s="8" t="s">
        <v>37</v>
      </c>
      <c r="B28" s="8"/>
      <c r="C28" s="8"/>
      <c r="D28" s="27" t="s">
        <v>26</v>
      </c>
      <c r="E28" s="8"/>
      <c r="F28" s="8">
        <f>288.15-0.0065*F23</f>
        <v>288.14999999999998</v>
      </c>
      <c r="G28" s="8">
        <f t="shared" ref="G28:Q28" si="3">288.15-0.0065*G23</f>
        <v>281.64999999999998</v>
      </c>
      <c r="H28" s="8">
        <f t="shared" si="3"/>
        <v>275.14999999999998</v>
      </c>
      <c r="I28" s="8">
        <f t="shared" si="3"/>
        <v>268.64999999999998</v>
      </c>
      <c r="J28" s="8">
        <f t="shared" si="3"/>
        <v>262.14999999999998</v>
      </c>
      <c r="K28" s="8">
        <f t="shared" si="3"/>
        <v>255.64999999999998</v>
      </c>
      <c r="L28" s="8">
        <f t="shared" si="3"/>
        <v>249.14999999999998</v>
      </c>
      <c r="M28" s="8">
        <f t="shared" si="3"/>
        <v>242.64999999999998</v>
      </c>
      <c r="N28" s="8">
        <f t="shared" si="3"/>
        <v>236.14999999999998</v>
      </c>
      <c r="O28" s="8">
        <f t="shared" si="3"/>
        <v>229.64999999999998</v>
      </c>
      <c r="P28" s="8">
        <f t="shared" si="3"/>
        <v>223.14999999999998</v>
      </c>
      <c r="Q28" s="8">
        <f t="shared" si="3"/>
        <v>216.64999999999998</v>
      </c>
      <c r="R28" s="2"/>
      <c r="S28" s="2"/>
      <c r="T28" s="2"/>
      <c r="U28" s="2"/>
      <c r="V28" s="2"/>
      <c r="W28" s="2"/>
      <c r="X28" s="2"/>
      <c r="Y28" s="2"/>
    </row>
    <row r="29" spans="1:25" ht="18.75" thickBot="1">
      <c r="A29" s="13" t="s">
        <v>55</v>
      </c>
      <c r="B29" s="13"/>
      <c r="C29" s="13"/>
      <c r="D29" s="14" t="s">
        <v>70</v>
      </c>
      <c r="E29" s="13"/>
      <c r="F29" s="19">
        <f>L10*L12/(L11+F23)^2</f>
        <v>9.802731498314678</v>
      </c>
      <c r="G29" s="19">
        <f>L10*L12/(L11+G23)^2</f>
        <v>9.7996592640631306</v>
      </c>
      <c r="H29" s="19">
        <f>L10*L12/(L11+H23)^2</f>
        <v>9.7965884738699742</v>
      </c>
      <c r="I29" s="19">
        <f>L10*L12/(L11+I23)^2</f>
        <v>9.7935191268303381</v>
      </c>
      <c r="J29" s="19">
        <f>L10*L12/(L11+J23)^2</f>
        <v>9.7904512220400619</v>
      </c>
      <c r="K29" s="19">
        <f>L10*L12/(L11+K23)^2</f>
        <v>9.7873847585956959</v>
      </c>
      <c r="L29" s="19">
        <f>L10*L12/(L11+L23)^2</f>
        <v>9.784319735594492</v>
      </c>
      <c r="M29" s="19">
        <f>L10*L12/(L11+M23)^2</f>
        <v>9.7812561521344108</v>
      </c>
      <c r="N29" s="19">
        <f>L10*L12/(L11+N23)^2</f>
        <v>9.7781940073141218</v>
      </c>
      <c r="O29" s="19">
        <f>L10*L12/(L11+O23)^2</f>
        <v>9.7751333002329943</v>
      </c>
      <c r="P29" s="19">
        <f>L10*L12/(L11+P23)^2</f>
        <v>9.77207402999111</v>
      </c>
      <c r="Q29" s="19">
        <f>L10*L12/(L11+Q23)^2</f>
        <v>9.7690161956892467</v>
      </c>
      <c r="R29" s="2"/>
      <c r="S29" s="2"/>
      <c r="T29" s="2"/>
      <c r="U29" s="2"/>
      <c r="V29" s="2"/>
      <c r="W29" s="2"/>
      <c r="X29" s="2"/>
      <c r="Y29" s="2"/>
    </row>
    <row r="30" spans="1: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"/>
      <c r="S30" s="2"/>
      <c r="T30" s="2"/>
      <c r="U30" s="2"/>
      <c r="V30" s="2"/>
      <c r="W30" s="2"/>
      <c r="X30" s="2"/>
      <c r="Y30" s="2"/>
    </row>
    <row r="31" spans="1: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"/>
      <c r="S31" s="2"/>
      <c r="T31" s="2"/>
      <c r="U31" s="2"/>
      <c r="V31" s="2"/>
      <c r="W31" s="2"/>
      <c r="X31" s="2"/>
      <c r="Y31" s="2"/>
    </row>
    <row r="32" spans="1:25" ht="15.75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"/>
      <c r="S32" s="2"/>
      <c r="T32" s="2"/>
      <c r="U32" s="2"/>
      <c r="V32" s="2"/>
      <c r="W32" s="2"/>
      <c r="X32" s="2"/>
      <c r="Y32" s="2"/>
    </row>
    <row r="33" spans="1:25">
      <c r="A33" s="15" t="s">
        <v>14</v>
      </c>
      <c r="B33" s="15"/>
      <c r="C33" s="15"/>
      <c r="D33" s="58" t="s">
        <v>58</v>
      </c>
      <c r="E33" s="15"/>
      <c r="F33" s="56">
        <f>F35*F44^2+F38*F44^-2</f>
        <v>71470.89419604119</v>
      </c>
      <c r="G33" s="56">
        <f t="shared" ref="G33:Q33" si="4">G35*G44^2+G38*G44^-2</f>
        <v>67876.902041690279</v>
      </c>
      <c r="H33" s="56">
        <f t="shared" si="4"/>
        <v>64549.618555769885</v>
      </c>
      <c r="I33" s="56">
        <f t="shared" si="4"/>
        <v>61487.26824996261</v>
      </c>
      <c r="J33" s="56">
        <f t="shared" si="4"/>
        <v>58688.008431515576</v>
      </c>
      <c r="K33" s="56">
        <f t="shared" si="4"/>
        <v>56149.783343715462</v>
      </c>
      <c r="L33" s="56">
        <f t="shared" si="4"/>
        <v>53870.139529214888</v>
      </c>
      <c r="M33" s="56">
        <f t="shared" si="4"/>
        <v>51846.001507626017</v>
      </c>
      <c r="N33" s="56">
        <f t="shared" si="4"/>
        <v>50073.411238040317</v>
      </c>
      <c r="O33" s="56">
        <f t="shared" si="4"/>
        <v>48547.241025127551</v>
      </c>
      <c r="P33" s="56">
        <f t="shared" si="4"/>
        <v>47260.897209747753</v>
      </c>
      <c r="Q33" s="56">
        <f t="shared" si="4"/>
        <v>46206.040196675909</v>
      </c>
      <c r="R33" s="2"/>
      <c r="S33" s="2"/>
      <c r="T33" s="2"/>
      <c r="U33" s="2"/>
      <c r="V33" s="2"/>
      <c r="W33" s="2"/>
      <c r="X33" s="2"/>
      <c r="Y33" s="2"/>
    </row>
    <row r="34" spans="1:25">
      <c r="A34" s="8"/>
      <c r="B34" s="8"/>
      <c r="C34" s="8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"/>
      <c r="S34" s="2"/>
      <c r="T34" s="2"/>
      <c r="U34" s="2"/>
      <c r="V34" s="2"/>
      <c r="W34" s="2"/>
      <c r="X34" s="2"/>
      <c r="Y34" s="2"/>
    </row>
    <row r="35" spans="1:25">
      <c r="A35" s="40" t="s">
        <v>15</v>
      </c>
      <c r="B35" s="40"/>
      <c r="C35" s="40"/>
      <c r="D35" s="59" t="s">
        <v>114</v>
      </c>
      <c r="E35" s="40"/>
      <c r="F35" s="42">
        <f>0.5*F26*F36*F37</f>
        <v>1.50675</v>
      </c>
      <c r="G35" s="42">
        <f t="shared" ref="G35:P35" si="5">0.5*G26*G36*G37</f>
        <v>1.3673184373411837</v>
      </c>
      <c r="H35" s="42">
        <f t="shared" si="5"/>
        <v>1.237979432218028</v>
      </c>
      <c r="I35" s="42">
        <f t="shared" si="5"/>
        <v>1.118215197390457</v>
      </c>
      <c r="J35" s="42">
        <f t="shared" si="5"/>
        <v>1.007523082190783</v>
      </c>
      <c r="K35" s="42">
        <f t="shared" si="5"/>
        <v>0.9054154801967248</v>
      </c>
      <c r="L35" s="42">
        <f t="shared" si="5"/>
        <v>0.81141973522628796</v>
      </c>
      <c r="M35" s="42">
        <f t="shared" si="5"/>
        <v>0.72507804558120381</v>
      </c>
      <c r="N35" s="42">
        <f t="shared" si="5"/>
        <v>0.64594736646045159</v>
      </c>
      <c r="O35" s="42">
        <f t="shared" si="5"/>
        <v>0.57359931045972179</v>
      </c>
      <c r="P35" s="42">
        <f t="shared" si="5"/>
        <v>0.50762004606641076</v>
      </c>
      <c r="Q35" s="42">
        <f>0.5*Q26*Q36*Q37</f>
        <v>0.44761019405282754</v>
      </c>
      <c r="R35" s="2"/>
      <c r="S35" s="2"/>
      <c r="T35" s="2"/>
      <c r="U35" s="2"/>
      <c r="V35" s="2"/>
      <c r="W35" s="2"/>
      <c r="X35" s="2"/>
      <c r="Y35" s="2"/>
    </row>
    <row r="36" spans="1:25" ht="16.5">
      <c r="A36" s="8"/>
      <c r="B36" s="8" t="s">
        <v>71</v>
      </c>
      <c r="C36" s="8"/>
      <c r="D36" s="9" t="s">
        <v>101</v>
      </c>
      <c r="E36" s="8"/>
      <c r="F36" s="8">
        <f>F9</f>
        <v>0.02</v>
      </c>
      <c r="G36" s="8">
        <f>F36</f>
        <v>0.02</v>
      </c>
      <c r="H36" s="8">
        <f>G36</f>
        <v>0.02</v>
      </c>
      <c r="I36" s="8">
        <f t="shared" ref="I36:Q36" si="6">H36</f>
        <v>0.02</v>
      </c>
      <c r="J36" s="8">
        <f t="shared" si="6"/>
        <v>0.02</v>
      </c>
      <c r="K36" s="8">
        <f t="shared" si="6"/>
        <v>0.02</v>
      </c>
      <c r="L36" s="8">
        <f t="shared" si="6"/>
        <v>0.02</v>
      </c>
      <c r="M36" s="8">
        <f t="shared" si="6"/>
        <v>0.02</v>
      </c>
      <c r="N36" s="8">
        <f t="shared" si="6"/>
        <v>0.02</v>
      </c>
      <c r="O36" s="8">
        <f t="shared" si="6"/>
        <v>0.02</v>
      </c>
      <c r="P36" s="8">
        <f t="shared" si="6"/>
        <v>0.02</v>
      </c>
      <c r="Q36" s="8">
        <f t="shared" si="6"/>
        <v>0.02</v>
      </c>
      <c r="R36" s="2"/>
      <c r="S36" s="2"/>
      <c r="T36" s="2"/>
      <c r="U36" s="2"/>
      <c r="V36" s="2"/>
      <c r="W36" s="2"/>
      <c r="X36" s="2"/>
      <c r="Y36" s="2"/>
    </row>
    <row r="37" spans="1:25" ht="18">
      <c r="A37" s="8"/>
      <c r="B37" s="8" t="s">
        <v>17</v>
      </c>
      <c r="C37" s="8"/>
      <c r="D37" s="9" t="s">
        <v>60</v>
      </c>
      <c r="E37" s="8"/>
      <c r="F37" s="8">
        <f>F6</f>
        <v>123</v>
      </c>
      <c r="G37" s="8">
        <f>F37</f>
        <v>123</v>
      </c>
      <c r="H37" s="8">
        <f t="shared" ref="H37:Q37" si="7">G37</f>
        <v>123</v>
      </c>
      <c r="I37" s="8">
        <f t="shared" si="7"/>
        <v>123</v>
      </c>
      <c r="J37" s="8">
        <f t="shared" si="7"/>
        <v>123</v>
      </c>
      <c r="K37" s="8">
        <f t="shared" si="7"/>
        <v>123</v>
      </c>
      <c r="L37" s="8">
        <f t="shared" si="7"/>
        <v>123</v>
      </c>
      <c r="M37" s="8">
        <f t="shared" si="7"/>
        <v>123</v>
      </c>
      <c r="N37" s="8">
        <f t="shared" si="7"/>
        <v>123</v>
      </c>
      <c r="O37" s="8">
        <f t="shared" si="7"/>
        <v>123</v>
      </c>
      <c r="P37" s="8">
        <f t="shared" si="7"/>
        <v>123</v>
      </c>
      <c r="Q37" s="8">
        <f t="shared" si="7"/>
        <v>123</v>
      </c>
      <c r="R37" s="2"/>
      <c r="S37" s="2"/>
      <c r="T37" s="2"/>
      <c r="U37" s="2"/>
      <c r="V37" s="2"/>
      <c r="W37" s="2"/>
      <c r="X37" s="2"/>
      <c r="Y37" s="2"/>
    </row>
    <row r="38" spans="1:25">
      <c r="A38" s="40" t="s">
        <v>16</v>
      </c>
      <c r="B38" s="40"/>
      <c r="C38" s="40"/>
      <c r="D38" s="41" t="s">
        <v>114</v>
      </c>
      <c r="E38" s="40"/>
      <c r="F38" s="43">
        <f>(2*F39^2*F29^2)/(F26*F37*F40*F41*F42)</f>
        <v>323997514.12909204</v>
      </c>
      <c r="G38" s="43">
        <f t="shared" ref="G38:Q38" si="8">(2*G39^2*G29^2)/(G26*G37*G40*G41*G42)</f>
        <v>356813226.51730007</v>
      </c>
      <c r="H38" s="43">
        <f t="shared" si="8"/>
        <v>393844662.63963383</v>
      </c>
      <c r="I38" s="43">
        <f t="shared" si="8"/>
        <v>435753440.77165025</v>
      </c>
      <c r="J38" s="43">
        <f t="shared" si="8"/>
        <v>483324794.77141041</v>
      </c>
      <c r="K38" s="43">
        <f t="shared" si="8"/>
        <v>537494557.66991234</v>
      </c>
      <c r="L38" s="43">
        <f t="shared" si="8"/>
        <v>599382929.4174993</v>
      </c>
      <c r="M38" s="43">
        <f t="shared" si="8"/>
        <v>670336971.61153889</v>
      </c>
      <c r="N38" s="43">
        <f t="shared" si="8"/>
        <v>751984400.18879056</v>
      </c>
      <c r="O38" s="43">
        <f t="shared" si="8"/>
        <v>846302102.88682079</v>
      </c>
      <c r="P38" s="43">
        <f t="shared" si="8"/>
        <v>955703983.71455252</v>
      </c>
      <c r="Q38" s="43">
        <f t="shared" si="8"/>
        <v>1083154364.8633914</v>
      </c>
      <c r="R38" s="2"/>
      <c r="S38" s="2"/>
      <c r="T38" s="2"/>
      <c r="U38" s="2"/>
      <c r="V38" s="2"/>
      <c r="W38" s="2"/>
      <c r="X38" s="2"/>
      <c r="Y38" s="2"/>
    </row>
    <row r="39" spans="1:25">
      <c r="A39" s="8"/>
      <c r="B39" s="8" t="s">
        <v>11</v>
      </c>
      <c r="C39" s="8"/>
      <c r="D39" s="9" t="s">
        <v>12</v>
      </c>
      <c r="E39" s="8"/>
      <c r="F39" s="8">
        <f>F5</f>
        <v>75000</v>
      </c>
      <c r="G39" s="8">
        <f>F39</f>
        <v>75000</v>
      </c>
      <c r="H39" s="8">
        <f t="shared" ref="H39:Q39" si="9">G39</f>
        <v>75000</v>
      </c>
      <c r="I39" s="8">
        <f t="shared" si="9"/>
        <v>75000</v>
      </c>
      <c r="J39" s="8">
        <f t="shared" si="9"/>
        <v>75000</v>
      </c>
      <c r="K39" s="8">
        <f t="shared" si="9"/>
        <v>75000</v>
      </c>
      <c r="L39" s="8">
        <f t="shared" si="9"/>
        <v>75000</v>
      </c>
      <c r="M39" s="8">
        <f t="shared" si="9"/>
        <v>75000</v>
      </c>
      <c r="N39" s="8">
        <f t="shared" si="9"/>
        <v>75000</v>
      </c>
      <c r="O39" s="8">
        <f t="shared" si="9"/>
        <v>75000</v>
      </c>
      <c r="P39" s="8">
        <f t="shared" si="9"/>
        <v>75000</v>
      </c>
      <c r="Q39" s="8">
        <f t="shared" si="9"/>
        <v>75000</v>
      </c>
      <c r="R39" s="2"/>
      <c r="S39" s="2"/>
      <c r="T39" s="2"/>
      <c r="U39" s="2"/>
      <c r="V39" s="2"/>
      <c r="W39" s="2"/>
      <c r="X39" s="2"/>
      <c r="Y39" s="2"/>
    </row>
    <row r="40" spans="1:25">
      <c r="A40" s="8"/>
      <c r="B40" s="8" t="s">
        <v>35</v>
      </c>
      <c r="C40" s="8"/>
      <c r="D40" s="9" t="s">
        <v>101</v>
      </c>
      <c r="E40" s="8"/>
      <c r="F40" s="17">
        <f>PI()</f>
        <v>3.1415926535897931</v>
      </c>
      <c r="G40" s="17">
        <f>PI()</f>
        <v>3.1415926535897931</v>
      </c>
      <c r="H40" s="17">
        <f>PI()</f>
        <v>3.1415926535897931</v>
      </c>
      <c r="I40" s="17">
        <f>PI()</f>
        <v>3.1415926535897931</v>
      </c>
      <c r="J40" s="17">
        <f>PI()</f>
        <v>3.1415926535897931</v>
      </c>
      <c r="K40" s="17">
        <f>PI()</f>
        <v>3.1415926535897931</v>
      </c>
      <c r="L40" s="17">
        <f>PI()</f>
        <v>3.1415926535897931</v>
      </c>
      <c r="M40" s="17">
        <f>PI()</f>
        <v>3.1415926535897931</v>
      </c>
      <c r="N40" s="17">
        <f>PI()</f>
        <v>3.1415926535897931</v>
      </c>
      <c r="O40" s="17">
        <f>PI()</f>
        <v>3.1415926535897931</v>
      </c>
      <c r="P40" s="17">
        <f>PI()</f>
        <v>3.1415926535897931</v>
      </c>
      <c r="Q40" s="17">
        <f>PI()</f>
        <v>3.1415926535897931</v>
      </c>
      <c r="R40" s="2"/>
      <c r="S40" s="2"/>
      <c r="T40" s="2"/>
      <c r="U40" s="2"/>
      <c r="V40" s="2"/>
      <c r="W40" s="2"/>
      <c r="X40" s="2"/>
      <c r="Y40" s="2"/>
    </row>
    <row r="41" spans="1:25">
      <c r="A41" s="8"/>
      <c r="B41" s="8" t="s">
        <v>94</v>
      </c>
      <c r="C41" s="8"/>
      <c r="D41" s="9" t="s">
        <v>101</v>
      </c>
      <c r="E41" s="8"/>
      <c r="F41" s="17">
        <f>F8</f>
        <v>9.3983739837398375</v>
      </c>
      <c r="G41" s="17">
        <f>F41</f>
        <v>9.3983739837398375</v>
      </c>
      <c r="H41" s="17">
        <f t="shared" ref="H41:Q42" si="10">G41</f>
        <v>9.3983739837398375</v>
      </c>
      <c r="I41" s="17">
        <f t="shared" si="10"/>
        <v>9.3983739837398375</v>
      </c>
      <c r="J41" s="17">
        <f t="shared" si="10"/>
        <v>9.3983739837398375</v>
      </c>
      <c r="K41" s="17">
        <f t="shared" si="10"/>
        <v>9.3983739837398375</v>
      </c>
      <c r="L41" s="17">
        <f t="shared" si="10"/>
        <v>9.3983739837398375</v>
      </c>
      <c r="M41" s="17">
        <f t="shared" si="10"/>
        <v>9.3983739837398375</v>
      </c>
      <c r="N41" s="17">
        <f t="shared" si="10"/>
        <v>9.3983739837398375</v>
      </c>
      <c r="O41" s="17">
        <f t="shared" si="10"/>
        <v>9.3983739837398375</v>
      </c>
      <c r="P41" s="17">
        <f t="shared" si="10"/>
        <v>9.3983739837398375</v>
      </c>
      <c r="Q41" s="17">
        <f t="shared" si="10"/>
        <v>9.3983739837398375</v>
      </c>
      <c r="R41" s="2"/>
      <c r="S41" s="2"/>
      <c r="T41" s="2"/>
      <c r="U41" s="2"/>
      <c r="V41" s="2"/>
      <c r="W41" s="2"/>
      <c r="X41" s="2"/>
      <c r="Y41" s="2"/>
    </row>
    <row r="42" spans="1:25">
      <c r="A42" s="8"/>
      <c r="B42" s="8" t="s">
        <v>18</v>
      </c>
      <c r="C42" s="8"/>
      <c r="D42" s="9" t="s">
        <v>101</v>
      </c>
      <c r="E42" s="8"/>
      <c r="F42" s="17">
        <f>F10</f>
        <v>0.75</v>
      </c>
      <c r="G42" s="17">
        <f>F42</f>
        <v>0.75</v>
      </c>
      <c r="H42" s="17">
        <f t="shared" si="10"/>
        <v>0.75</v>
      </c>
      <c r="I42" s="17">
        <f t="shared" si="10"/>
        <v>0.75</v>
      </c>
      <c r="J42" s="17">
        <f t="shared" si="10"/>
        <v>0.75</v>
      </c>
      <c r="K42" s="17">
        <f t="shared" si="10"/>
        <v>0.75</v>
      </c>
      <c r="L42" s="17">
        <f t="shared" si="10"/>
        <v>0.75</v>
      </c>
      <c r="M42" s="17">
        <f t="shared" si="10"/>
        <v>0.75</v>
      </c>
      <c r="N42" s="17">
        <f t="shared" si="10"/>
        <v>0.75</v>
      </c>
      <c r="O42" s="17">
        <f t="shared" si="10"/>
        <v>0.75</v>
      </c>
      <c r="P42" s="17">
        <f t="shared" si="10"/>
        <v>0.75</v>
      </c>
      <c r="Q42" s="17">
        <f t="shared" si="10"/>
        <v>0.75</v>
      </c>
      <c r="R42" s="2"/>
      <c r="S42" s="2"/>
      <c r="T42" s="2"/>
      <c r="U42" s="2"/>
      <c r="V42" s="2"/>
      <c r="W42" s="2"/>
      <c r="X42" s="2"/>
      <c r="Y42" s="2"/>
    </row>
    <row r="43" spans="1:25">
      <c r="A43" s="8"/>
      <c r="B43" s="8"/>
      <c r="C43" s="8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"/>
      <c r="S43" s="2"/>
      <c r="T43" s="2"/>
      <c r="U43" s="2"/>
      <c r="V43" s="2"/>
      <c r="W43" s="2"/>
      <c r="X43" s="2"/>
      <c r="Y43" s="2"/>
    </row>
    <row r="44" spans="1:25">
      <c r="A44" s="40" t="s">
        <v>19</v>
      </c>
      <c r="B44" s="40"/>
      <c r="C44" s="40"/>
      <c r="D44" s="41" t="s">
        <v>56</v>
      </c>
      <c r="E44" s="40"/>
      <c r="F44" s="42">
        <f>SQRT((1/(6*F35))*(F46+SQRT(F46^2+12*F35*F38)))</f>
        <v>205.80866906464479</v>
      </c>
      <c r="G44" s="42">
        <f t="shared" ref="G44:Q44" si="11">SQRT((1/(6*G35))*(G46+SQRT(G46^2+12*G35*G38)))</f>
        <v>208.96442628532887</v>
      </c>
      <c r="H44" s="42">
        <f t="shared" si="11"/>
        <v>212.33163915114892</v>
      </c>
      <c r="I44" s="42">
        <f t="shared" si="11"/>
        <v>215.93974948951725</v>
      </c>
      <c r="J44" s="42">
        <f t="shared" si="11"/>
        <v>219.82353482685119</v>
      </c>
      <c r="K44" s="42">
        <f t="shared" si="11"/>
        <v>224.02410157846438</v>
      </c>
      <c r="L44" s="42">
        <f t="shared" si="11"/>
        <v>228.59003463911807</v>
      </c>
      <c r="M44" s="42">
        <f t="shared" si="11"/>
        <v>233.57871654797259</v>
      </c>
      <c r="N44" s="42">
        <f t="shared" si="11"/>
        <v>239.05782914623362</v>
      </c>
      <c r="O44" s="42">
        <f t="shared" si="11"/>
        <v>245.10705269332848</v>
      </c>
      <c r="P44" s="42">
        <f t="shared" si="11"/>
        <v>251.81998424129625</v>
      </c>
      <c r="Q44" s="42">
        <f t="shared" si="11"/>
        <v>259.30631196424622</v>
      </c>
      <c r="R44" s="2"/>
      <c r="S44" s="2"/>
      <c r="T44" s="2"/>
      <c r="U44" s="2"/>
      <c r="V44" s="2"/>
      <c r="W44" s="2"/>
      <c r="X44" s="2"/>
      <c r="Y44" s="2"/>
    </row>
    <row r="45" spans="1:25">
      <c r="A45" s="8"/>
      <c r="B45" s="8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"/>
      <c r="S45" s="2"/>
      <c r="T45" s="2"/>
      <c r="U45" s="2"/>
      <c r="V45" s="2"/>
      <c r="W45" s="2"/>
      <c r="X45" s="2"/>
      <c r="Y45" s="2"/>
    </row>
    <row r="46" spans="1:25">
      <c r="A46" s="40" t="s">
        <v>20</v>
      </c>
      <c r="B46" s="40" t="s">
        <v>39</v>
      </c>
      <c r="C46" s="40"/>
      <c r="D46" s="41" t="s">
        <v>58</v>
      </c>
      <c r="E46" s="40"/>
      <c r="F46" s="43">
        <f>2*F47*F50^F48*F52</f>
        <v>183815.99999999997</v>
      </c>
      <c r="G46" s="43">
        <f t="shared" ref="G46:Q46" si="12">2*G47*G50^G48*G52</f>
        <v>170945.12444918143</v>
      </c>
      <c r="H46" s="43">
        <f t="shared" si="12"/>
        <v>158706.23039686226</v>
      </c>
      <c r="I46" s="43">
        <f t="shared" si="12"/>
        <v>147082.12037784918</v>
      </c>
      <c r="J46" s="43">
        <f t="shared" si="12"/>
        <v>136055.67056365879</v>
      </c>
      <c r="K46" s="43">
        <f>2*K47*K50^K48*K52</f>
        <v>125609.83221795299</v>
      </c>
      <c r="L46" s="43">
        <f>2*L47*L50^L48*L52</f>
        <v>115727.63321748727</v>
      </c>
      <c r="M46" s="43">
        <f t="shared" si="12"/>
        <v>106392.17964326037</v>
      </c>
      <c r="N46" s="43">
        <f t="shared" si="12"/>
        <v>97586.657447018137</v>
      </c>
      <c r="O46" s="43">
        <f t="shared" si="12"/>
        <v>89294.334198793644</v>
      </c>
      <c r="P46" s="43">
        <f t="shared" si="12"/>
        <v>81498.560921759927</v>
      </c>
      <c r="Q46" s="43">
        <f t="shared" si="12"/>
        <v>74182.774021348916</v>
      </c>
      <c r="R46" s="2"/>
      <c r="S46" s="2"/>
      <c r="T46" s="2"/>
      <c r="U46" s="2"/>
      <c r="V46" s="2"/>
      <c r="W46" s="2"/>
      <c r="X46" s="2"/>
      <c r="Y46" s="2"/>
    </row>
    <row r="47" spans="1:25">
      <c r="A47" s="8"/>
      <c r="B47" s="8" t="s">
        <v>24</v>
      </c>
      <c r="C47" s="8"/>
      <c r="D47" s="9" t="s">
        <v>101</v>
      </c>
      <c r="E47" s="8"/>
      <c r="F47" s="17">
        <f>-0.0253*F49+0.7291</f>
        <v>0.61271999999999993</v>
      </c>
      <c r="G47" s="17">
        <f t="shared" ref="G47:Q47" si="13">-0.0253*G49+0.7291</f>
        <v>0.61271999999999993</v>
      </c>
      <c r="H47" s="17">
        <f t="shared" si="13"/>
        <v>0.61271999999999993</v>
      </c>
      <c r="I47" s="17">
        <f t="shared" si="13"/>
        <v>0.61271999999999993</v>
      </c>
      <c r="J47" s="17">
        <f t="shared" si="13"/>
        <v>0.61271999999999993</v>
      </c>
      <c r="K47" s="17">
        <f t="shared" si="13"/>
        <v>0.61271999999999993</v>
      </c>
      <c r="L47" s="17">
        <f t="shared" si="13"/>
        <v>0.61271999999999993</v>
      </c>
      <c r="M47" s="17">
        <f t="shared" si="13"/>
        <v>0.61271999999999993</v>
      </c>
      <c r="N47" s="17">
        <f t="shared" si="13"/>
        <v>0.61271999999999993</v>
      </c>
      <c r="O47" s="17">
        <f t="shared" si="13"/>
        <v>0.61271999999999993</v>
      </c>
      <c r="P47" s="17">
        <f t="shared" si="13"/>
        <v>0.61271999999999993</v>
      </c>
      <c r="Q47" s="17">
        <f t="shared" si="13"/>
        <v>0.61271999999999993</v>
      </c>
      <c r="R47" s="2"/>
      <c r="S47" s="2"/>
      <c r="T47" s="2"/>
      <c r="U47" s="2"/>
      <c r="V47" s="2"/>
      <c r="W47" s="2"/>
      <c r="X47" s="2"/>
      <c r="Y47" s="2"/>
    </row>
    <row r="48" spans="1:25">
      <c r="A48" s="8"/>
      <c r="B48" s="8" t="s">
        <v>25</v>
      </c>
      <c r="C48" s="8"/>
      <c r="D48" s="9" t="s">
        <v>101</v>
      </c>
      <c r="E48" s="8"/>
      <c r="F48" s="17">
        <f>0.0033*F49+0.7324</f>
        <v>0.74758000000000002</v>
      </c>
      <c r="G48" s="17">
        <f t="shared" ref="G48:Q48" si="14">0.0033*G49+0.7324</f>
        <v>0.74758000000000002</v>
      </c>
      <c r="H48" s="17">
        <f t="shared" si="14"/>
        <v>0.74758000000000002</v>
      </c>
      <c r="I48" s="17">
        <f t="shared" si="14"/>
        <v>0.74758000000000002</v>
      </c>
      <c r="J48" s="17">
        <f t="shared" si="14"/>
        <v>0.74758000000000002</v>
      </c>
      <c r="K48" s="17">
        <f t="shared" si="14"/>
        <v>0.74758000000000002</v>
      </c>
      <c r="L48" s="17">
        <f t="shared" si="14"/>
        <v>0.74758000000000002</v>
      </c>
      <c r="M48" s="17">
        <f t="shared" si="14"/>
        <v>0.74758000000000002</v>
      </c>
      <c r="N48" s="17">
        <f t="shared" si="14"/>
        <v>0.74758000000000002</v>
      </c>
      <c r="O48" s="17">
        <f t="shared" si="14"/>
        <v>0.74758000000000002</v>
      </c>
      <c r="P48" s="17">
        <f t="shared" si="14"/>
        <v>0.74758000000000002</v>
      </c>
      <c r="Q48" s="17">
        <f t="shared" si="14"/>
        <v>0.74758000000000002</v>
      </c>
      <c r="R48" s="2"/>
      <c r="S48" s="2"/>
      <c r="T48" s="2"/>
      <c r="U48" s="2"/>
      <c r="V48" s="2"/>
      <c r="W48" s="2"/>
      <c r="X48" s="2"/>
      <c r="Y48" s="2"/>
    </row>
    <row r="49" spans="1:25">
      <c r="A49" s="8"/>
      <c r="B49" s="8" t="s">
        <v>36</v>
      </c>
      <c r="C49" s="8"/>
      <c r="D49" s="9" t="s">
        <v>101</v>
      </c>
      <c r="E49" s="8"/>
      <c r="F49" s="8">
        <f>F12</f>
        <v>4.5999999999999996</v>
      </c>
      <c r="G49" s="8">
        <f>F49</f>
        <v>4.5999999999999996</v>
      </c>
      <c r="H49" s="8">
        <f t="shared" ref="H49:Q49" si="15">G49</f>
        <v>4.5999999999999996</v>
      </c>
      <c r="I49" s="8">
        <f t="shared" si="15"/>
        <v>4.5999999999999996</v>
      </c>
      <c r="J49" s="8">
        <f t="shared" si="15"/>
        <v>4.5999999999999996</v>
      </c>
      <c r="K49" s="8">
        <f t="shared" si="15"/>
        <v>4.5999999999999996</v>
      </c>
      <c r="L49" s="8">
        <f t="shared" si="15"/>
        <v>4.5999999999999996</v>
      </c>
      <c r="M49" s="8">
        <f t="shared" si="15"/>
        <v>4.5999999999999996</v>
      </c>
      <c r="N49" s="8">
        <f t="shared" si="15"/>
        <v>4.5999999999999996</v>
      </c>
      <c r="O49" s="8">
        <f t="shared" si="15"/>
        <v>4.5999999999999996</v>
      </c>
      <c r="P49" s="8">
        <f t="shared" si="15"/>
        <v>4.5999999999999996</v>
      </c>
      <c r="Q49" s="8">
        <f t="shared" si="15"/>
        <v>4.5999999999999996</v>
      </c>
      <c r="R49" s="2"/>
      <c r="S49" s="2"/>
      <c r="T49" s="2"/>
      <c r="U49" s="2"/>
      <c r="V49" s="2"/>
      <c r="W49" s="2"/>
      <c r="X49" s="2"/>
      <c r="Y49" s="2"/>
    </row>
    <row r="50" spans="1:25">
      <c r="A50" s="8"/>
      <c r="B50" s="8" t="s">
        <v>38</v>
      </c>
      <c r="C50" s="8"/>
      <c r="D50" s="9" t="s">
        <v>101</v>
      </c>
      <c r="E50" s="8"/>
      <c r="F50" s="17">
        <f>F26/F51</f>
        <v>1</v>
      </c>
      <c r="G50" s="17">
        <f t="shared" ref="G50:Q50" si="16">G26/G51</f>
        <v>0.90746204568852407</v>
      </c>
      <c r="H50" s="17">
        <f t="shared" si="16"/>
        <v>0.8216223210340321</v>
      </c>
      <c r="I50" s="17">
        <f t="shared" si="16"/>
        <v>0.74213718094604753</v>
      </c>
      <c r="J50" s="17">
        <f t="shared" si="16"/>
        <v>0.66867302617606295</v>
      </c>
      <c r="K50" s="17">
        <f t="shared" si="16"/>
        <v>0.60090624204196097</v>
      </c>
      <c r="L50" s="17">
        <f t="shared" si="16"/>
        <v>0.53852313603868451</v>
      </c>
      <c r="M50" s="17">
        <f t="shared" si="16"/>
        <v>0.48121987428651319</v>
      </c>
      <c r="N50" s="17">
        <f t="shared" si="16"/>
        <v>0.42870241676485921</v>
      </c>
      <c r="O50" s="17">
        <f t="shared" si="16"/>
        <v>0.38068645127574036</v>
      </c>
      <c r="P50" s="17">
        <f t="shared" si="16"/>
        <v>0.33689732607692768</v>
      </c>
      <c r="Q50" s="17">
        <f t="shared" si="16"/>
        <v>0.29706998112017752</v>
      </c>
      <c r="R50" s="2"/>
      <c r="S50" s="2"/>
      <c r="T50" s="2"/>
      <c r="U50" s="2"/>
      <c r="V50" s="2"/>
      <c r="W50" s="2"/>
      <c r="X50" s="2"/>
      <c r="Y50" s="2"/>
    </row>
    <row r="51" spans="1:25" ht="18.75">
      <c r="A51" s="8"/>
      <c r="B51" s="8" t="s">
        <v>81</v>
      </c>
      <c r="C51" s="8"/>
      <c r="D51" s="9" t="s">
        <v>111</v>
      </c>
      <c r="E51" s="8"/>
      <c r="F51" s="8">
        <v>1.2250000000000001</v>
      </c>
      <c r="G51" s="8">
        <v>1.2250000000000001</v>
      </c>
      <c r="H51" s="8">
        <v>1.2250000000000001</v>
      </c>
      <c r="I51" s="8">
        <v>1.2250000000000001</v>
      </c>
      <c r="J51" s="8">
        <v>1.2250000000000001</v>
      </c>
      <c r="K51" s="8">
        <v>1.2250000000000001</v>
      </c>
      <c r="L51" s="8">
        <v>1.2250000000000001</v>
      </c>
      <c r="M51" s="8">
        <v>1.2250000000000001</v>
      </c>
      <c r="N51" s="8">
        <v>1.2250000000000001</v>
      </c>
      <c r="O51" s="8">
        <v>1.2250000000000001</v>
      </c>
      <c r="P51" s="8">
        <v>1.2250000000000001</v>
      </c>
      <c r="Q51" s="8">
        <v>1.2250000000000001</v>
      </c>
      <c r="R51" s="2"/>
      <c r="S51" s="2"/>
      <c r="T51" s="2"/>
      <c r="U51" s="2"/>
      <c r="V51" s="2"/>
      <c r="W51" s="2"/>
      <c r="X51" s="2"/>
      <c r="Y51" s="2"/>
    </row>
    <row r="52" spans="1:25" ht="16.5">
      <c r="A52" s="8"/>
      <c r="B52" s="55" t="s">
        <v>109</v>
      </c>
      <c r="C52" s="8"/>
      <c r="D52" s="9" t="s">
        <v>58</v>
      </c>
      <c r="E52" s="8"/>
      <c r="F52" s="8">
        <f>F13</f>
        <v>150000</v>
      </c>
      <c r="G52" s="8">
        <f>F52</f>
        <v>150000</v>
      </c>
      <c r="H52" s="8">
        <f t="shared" ref="H52:Q52" si="17">G52</f>
        <v>150000</v>
      </c>
      <c r="I52" s="8">
        <f t="shared" si="17"/>
        <v>150000</v>
      </c>
      <c r="J52" s="8">
        <f t="shared" si="17"/>
        <v>150000</v>
      </c>
      <c r="K52" s="8">
        <f t="shared" si="17"/>
        <v>150000</v>
      </c>
      <c r="L52" s="8">
        <f t="shared" si="17"/>
        <v>150000</v>
      </c>
      <c r="M52" s="8">
        <f t="shared" si="17"/>
        <v>150000</v>
      </c>
      <c r="N52" s="8">
        <f t="shared" si="17"/>
        <v>150000</v>
      </c>
      <c r="O52" s="8">
        <f t="shared" si="17"/>
        <v>150000</v>
      </c>
      <c r="P52" s="8">
        <f t="shared" si="17"/>
        <v>150000</v>
      </c>
      <c r="Q52" s="8">
        <f t="shared" si="17"/>
        <v>150000</v>
      </c>
      <c r="R52" s="2"/>
      <c r="S52" s="2"/>
      <c r="T52" s="2"/>
      <c r="U52" s="2"/>
      <c r="V52" s="2"/>
      <c r="W52" s="2"/>
      <c r="X52" s="2"/>
      <c r="Y52" s="2"/>
    </row>
    <row r="53" spans="1:25">
      <c r="A53" s="8"/>
      <c r="B53" s="8"/>
      <c r="C53" s="8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"/>
      <c r="S53" s="2"/>
      <c r="T53" s="2"/>
      <c r="U53" s="2"/>
      <c r="V53" s="2"/>
      <c r="W53" s="2"/>
      <c r="X53" s="2"/>
      <c r="Y53" s="2"/>
    </row>
    <row r="54" spans="1:25" ht="15.75" thickBot="1">
      <c r="A54" s="44" t="s">
        <v>21</v>
      </c>
      <c r="B54" s="44"/>
      <c r="C54" s="44"/>
      <c r="D54" s="45" t="s">
        <v>12</v>
      </c>
      <c r="E54" s="44"/>
      <c r="F54" s="46">
        <f t="shared" ref="F54:Q54" si="18">F39*F29</f>
        <v>735204.86237360083</v>
      </c>
      <c r="G54" s="46">
        <f t="shared" si="18"/>
        <v>734974.44480473478</v>
      </c>
      <c r="H54" s="46">
        <f t="shared" si="18"/>
        <v>734744.13554024801</v>
      </c>
      <c r="I54" s="46">
        <f t="shared" si="18"/>
        <v>734513.93451227539</v>
      </c>
      <c r="J54" s="46">
        <f t="shared" si="18"/>
        <v>734283.84165300464</v>
      </c>
      <c r="K54" s="46">
        <f t="shared" si="18"/>
        <v>734053.85689467716</v>
      </c>
      <c r="L54" s="46">
        <f t="shared" si="18"/>
        <v>733823.98016958695</v>
      </c>
      <c r="M54" s="46">
        <f t="shared" si="18"/>
        <v>733594.21141008078</v>
      </c>
      <c r="N54" s="46">
        <f t="shared" si="18"/>
        <v>733364.55054855917</v>
      </c>
      <c r="O54" s="46">
        <f t="shared" si="18"/>
        <v>733134.99751747458</v>
      </c>
      <c r="P54" s="46">
        <f t="shared" si="18"/>
        <v>732905.55224933324</v>
      </c>
      <c r="Q54" s="46">
        <f t="shared" si="18"/>
        <v>732676.21467669355</v>
      </c>
      <c r="R54" s="2"/>
      <c r="S54" s="2"/>
      <c r="T54" s="2"/>
      <c r="U54" s="2"/>
      <c r="V54" s="2"/>
      <c r="W54" s="2"/>
      <c r="X54" s="2"/>
      <c r="Y54" s="2"/>
    </row>
    <row r="55" spans="1:25">
      <c r="A55" s="8"/>
      <c r="B55" s="8"/>
      <c r="C55" s="8"/>
      <c r="D55" s="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"/>
      <c r="S55" s="2"/>
      <c r="T55" s="2"/>
      <c r="U55" s="2"/>
      <c r="V55" s="2"/>
      <c r="W55" s="2"/>
      <c r="X55" s="2"/>
      <c r="Y55" s="2"/>
    </row>
    <row r="56" spans="1:25">
      <c r="A56" s="8" t="s">
        <v>8</v>
      </c>
      <c r="B56" s="8"/>
      <c r="C56" s="8"/>
      <c r="D56" s="9" t="s">
        <v>11</v>
      </c>
      <c r="E56" s="8"/>
      <c r="F56" s="8">
        <v>0</v>
      </c>
      <c r="G56" s="8">
        <v>1000</v>
      </c>
      <c r="H56" s="8">
        <v>2000</v>
      </c>
      <c r="I56" s="8">
        <v>3000</v>
      </c>
      <c r="J56" s="8">
        <v>4000</v>
      </c>
      <c r="K56" s="8">
        <v>5000</v>
      </c>
      <c r="L56" s="8">
        <v>6000</v>
      </c>
      <c r="M56" s="8">
        <v>7000</v>
      </c>
      <c r="N56" s="8">
        <v>8000</v>
      </c>
      <c r="O56" s="8">
        <v>9000</v>
      </c>
      <c r="P56" s="8">
        <v>10000</v>
      </c>
      <c r="Q56" s="8">
        <v>11000</v>
      </c>
      <c r="R56" s="2"/>
      <c r="S56" s="2"/>
      <c r="T56" s="2"/>
      <c r="U56" s="2"/>
      <c r="V56" s="2"/>
      <c r="W56" s="2"/>
      <c r="X56" s="2"/>
      <c r="Y56" s="2"/>
    </row>
    <row r="57" spans="1:25">
      <c r="A57" s="8" t="s">
        <v>23</v>
      </c>
      <c r="B57" s="8"/>
      <c r="C57" s="8"/>
      <c r="D57" s="9" t="s">
        <v>56</v>
      </c>
      <c r="E57" s="8"/>
      <c r="F57" s="17">
        <f t="shared" ref="F57:Q57" si="19">(F46*F44-F33*F44)/F54</f>
        <v>31.449189042074121</v>
      </c>
      <c r="G57" s="17">
        <f t="shared" si="19"/>
        <v>29.303865074318463</v>
      </c>
      <c r="H57" s="17">
        <f t="shared" si="19"/>
        <v>27.210054169996809</v>
      </c>
      <c r="I57" s="17">
        <f t="shared" si="19"/>
        <v>25.164030330290753</v>
      </c>
      <c r="J57" s="17">
        <f t="shared" si="19"/>
        <v>23.16166039128807</v>
      </c>
      <c r="K57" s="17">
        <f t="shared" si="19"/>
        <v>21.198342462874571</v>
      </c>
      <c r="L57" s="17">
        <f t="shared" si="19"/>
        <v>19.268935067539562</v>
      </c>
      <c r="M57" s="17">
        <f t="shared" si="19"/>
        <v>17.367675594152701</v>
      </c>
      <c r="N57" s="17">
        <f t="shared" si="19"/>
        <v>15.488086362931805</v>
      </c>
      <c r="O57" s="17">
        <f t="shared" si="19"/>
        <v>13.62286611256706</v>
      </c>
      <c r="P57" s="17">
        <f t="shared" si="19"/>
        <v>11.763763980170543</v>
      </c>
      <c r="Q57" s="17">
        <f t="shared" si="19"/>
        <v>9.9014319334530807</v>
      </c>
      <c r="R57" s="2"/>
      <c r="S57" s="2"/>
      <c r="T57" s="2"/>
      <c r="U57" s="2"/>
      <c r="V57" s="2"/>
      <c r="W57" s="2"/>
      <c r="X57" s="2"/>
      <c r="Y57" s="2"/>
    </row>
    <row r="58" spans="1:25">
      <c r="A58" s="8" t="s">
        <v>49</v>
      </c>
      <c r="B58" s="8"/>
      <c r="C58" s="8"/>
      <c r="D58" s="9" t="s">
        <v>56</v>
      </c>
      <c r="E58" s="8"/>
      <c r="F58" s="17">
        <f>S61*F56+F57</f>
        <v>31.449189042074121</v>
      </c>
      <c r="G58" s="17">
        <f>S61*G56+F57</f>
        <v>29.49030203219948</v>
      </c>
      <c r="H58" s="17">
        <f>S61*H56+F57</f>
        <v>27.53141502232484</v>
      </c>
      <c r="I58" s="17">
        <f>S61*I56+F57</f>
        <v>25.572528012450199</v>
      </c>
      <c r="J58" s="17">
        <f>S61*J56+F57</f>
        <v>23.613641002575562</v>
      </c>
      <c r="K58" s="17">
        <f>S61*K56+F57</f>
        <v>21.654753992700918</v>
      </c>
      <c r="L58" s="17">
        <f>S61*L56+F57</f>
        <v>19.695866982826281</v>
      </c>
      <c r="M58" s="17">
        <f>S61*M56+F57</f>
        <v>17.736979972951641</v>
      </c>
      <c r="N58" s="17">
        <f>S61*N56+F57</f>
        <v>15.778092963077</v>
      </c>
      <c r="O58" s="17">
        <f>S61*O56+F57</f>
        <v>13.81920595320236</v>
      </c>
      <c r="P58" s="17">
        <f>S61*P56+F57</f>
        <v>11.860318943327719</v>
      </c>
      <c r="Q58" s="17">
        <f>S61*Q56+F57</f>
        <v>9.9014319334530789</v>
      </c>
      <c r="R58" s="2"/>
      <c r="S58" s="2"/>
      <c r="T58" s="2"/>
      <c r="U58" s="2"/>
      <c r="V58" s="2"/>
      <c r="W58" s="2"/>
      <c r="X58" s="2"/>
      <c r="Y58" s="2"/>
    </row>
    <row r="59" spans="1:25">
      <c r="A59" s="8"/>
      <c r="B59" s="8"/>
      <c r="C59" s="8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"/>
      <c r="S59" s="2"/>
      <c r="T59" s="2"/>
      <c r="U59" s="2"/>
      <c r="V59" s="2"/>
      <c r="W59" s="2"/>
      <c r="X59" s="2"/>
      <c r="Y59" s="2"/>
    </row>
    <row r="60" spans="1:25">
      <c r="A60" s="8" t="s">
        <v>23</v>
      </c>
      <c r="B60" s="8"/>
      <c r="C60" s="8"/>
      <c r="D60" s="9" t="s">
        <v>101</v>
      </c>
      <c r="E60" s="8"/>
      <c r="F60" s="8">
        <f>F57/F57</f>
        <v>1</v>
      </c>
      <c r="G60" s="17">
        <f>G57/F57</f>
        <v>0.93178444236239133</v>
      </c>
      <c r="H60" s="17">
        <f>H57/F57</f>
        <v>0.86520686220538123</v>
      </c>
      <c r="I60" s="17">
        <f>I57/F57</f>
        <v>0.80014878274365664</v>
      </c>
      <c r="J60" s="17">
        <f>J57/F57</f>
        <v>0.73647878043218773</v>
      </c>
      <c r="K60" s="17">
        <f>K57/F57</f>
        <v>0.6740505274878309</v>
      </c>
      <c r="L60" s="17">
        <f>L57/F57</f>
        <v>0.6127005386930876</v>
      </c>
      <c r="M60" s="17">
        <f>M57/F57</f>
        <v>0.55224557844456512</v>
      </c>
      <c r="N60" s="17">
        <f>N57/F57</f>
        <v>0.49247967387048219</v>
      </c>
      <c r="O60" s="17">
        <f>O57/F57</f>
        <v>0.43317066441178453</v>
      </c>
      <c r="P60" s="17">
        <f>P57/F57</f>
        <v>0.37405619472198337</v>
      </c>
      <c r="Q60" s="17">
        <f>Q57/F57</f>
        <v>0.31483902240552231</v>
      </c>
      <c r="R60" s="2"/>
      <c r="S60" s="2"/>
      <c r="T60" s="2"/>
      <c r="U60" s="2"/>
      <c r="V60" s="2"/>
      <c r="W60" s="2"/>
      <c r="X60" s="2"/>
      <c r="Y60" s="2"/>
    </row>
    <row r="61" spans="1:25">
      <c r="A61" s="8" t="s">
        <v>49</v>
      </c>
      <c r="B61" s="8"/>
      <c r="C61" s="8"/>
      <c r="D61" s="9" t="s">
        <v>101</v>
      </c>
      <c r="E61" s="8"/>
      <c r="F61" s="8">
        <f>F60</f>
        <v>1</v>
      </c>
      <c r="G61" s="17">
        <f>T64*G56+1</f>
        <v>0.93771263840050201</v>
      </c>
      <c r="H61" s="17">
        <f>T64*H56+1</f>
        <v>0.87542527680100402</v>
      </c>
      <c r="I61" s="17">
        <f>T64*I56+1</f>
        <v>0.81313791520150613</v>
      </c>
      <c r="J61" s="17">
        <f>T64*J56+1</f>
        <v>0.75085055360200814</v>
      </c>
      <c r="K61" s="17">
        <f>T64*K56+1</f>
        <v>0.68856319200251015</v>
      </c>
      <c r="L61" s="17">
        <f>T64*L56+1</f>
        <v>0.62627583040301227</v>
      </c>
      <c r="M61" s="17">
        <f>T64*M56+1</f>
        <v>0.56398846880351416</v>
      </c>
      <c r="N61" s="17">
        <f>T64*N56+1</f>
        <v>0.50170110720401628</v>
      </c>
      <c r="O61" s="17">
        <f>T64*O56+1</f>
        <v>0.43941374560451829</v>
      </c>
      <c r="P61" s="17">
        <f>T64*P56+1</f>
        <v>0.3771263840050203</v>
      </c>
      <c r="Q61" s="17">
        <f>T64*Q56+1</f>
        <v>0.31483902240552242</v>
      </c>
      <c r="R61" s="2" t="s">
        <v>48</v>
      </c>
      <c r="S61" s="2">
        <f>(F57-Q57)/(F56-Q56)</f>
        <v>-1.95888700987464E-3</v>
      </c>
      <c r="T61" s="2"/>
      <c r="U61" s="2"/>
      <c r="V61" s="2"/>
      <c r="W61" s="2"/>
      <c r="X61" s="2"/>
      <c r="Y61" s="2"/>
    </row>
    <row r="62" spans="1:25">
      <c r="A62" s="8"/>
      <c r="B62" s="8"/>
      <c r="C62" s="8"/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"/>
      <c r="S62" s="2"/>
      <c r="T62" s="2"/>
      <c r="U62" s="2"/>
      <c r="V62" s="2"/>
      <c r="W62" s="2"/>
      <c r="X62" s="2"/>
      <c r="Y62" s="2"/>
    </row>
    <row r="63" spans="1:25">
      <c r="A63" s="8" t="s">
        <v>91</v>
      </c>
      <c r="B63" s="8"/>
      <c r="C63" s="8"/>
      <c r="D63" s="9" t="s">
        <v>101</v>
      </c>
      <c r="E63" s="8"/>
      <c r="F63" s="17">
        <f t="shared" ref="F63:Q63" si="20">1/F57</f>
        <v>3.1797322298586318E-2</v>
      </c>
      <c r="G63" s="17">
        <f t="shared" si="20"/>
        <v>3.412519124913619E-2</v>
      </c>
      <c r="H63" s="17">
        <f t="shared" si="20"/>
        <v>3.6751121249242159E-2</v>
      </c>
      <c r="I63" s="17">
        <f t="shared" si="20"/>
        <v>3.9739262227651499E-2</v>
      </c>
      <c r="J63" s="17">
        <f t="shared" si="20"/>
        <v>4.3174797622718614E-2</v>
      </c>
      <c r="K63" s="17">
        <f t="shared" si="20"/>
        <v>4.7173499614478649E-2</v>
      </c>
      <c r="L63" s="17">
        <f t="shared" si="20"/>
        <v>5.1897003985684684E-2</v>
      </c>
      <c r="M63" s="17">
        <f t="shared" si="20"/>
        <v>5.7578228852724379E-2</v>
      </c>
      <c r="N63" s="17">
        <f t="shared" si="20"/>
        <v>6.4565755676139314E-2</v>
      </c>
      <c r="O63" s="17">
        <f t="shared" si="20"/>
        <v>7.3405991935683965E-2</v>
      </c>
      <c r="P63" s="17">
        <f t="shared" si="20"/>
        <v>8.5006805788150702E-2</v>
      </c>
      <c r="Q63" s="17">
        <f t="shared" si="20"/>
        <v>0.10099549304796912</v>
      </c>
      <c r="R63" s="2"/>
      <c r="S63" s="2"/>
      <c r="T63" s="2"/>
      <c r="U63" s="2"/>
      <c r="V63" s="2"/>
      <c r="W63" s="2"/>
      <c r="X63" s="2"/>
      <c r="Y63" s="2"/>
    </row>
    <row r="64" spans="1:25">
      <c r="A64" s="8" t="s">
        <v>93</v>
      </c>
      <c r="B64" s="8"/>
      <c r="C64" s="8"/>
      <c r="D64" s="9" t="s">
        <v>101</v>
      </c>
      <c r="E64" s="8"/>
      <c r="F64" s="17">
        <f t="shared" ref="F64:Q64" si="21">1/F58</f>
        <v>3.1797322298586318E-2</v>
      </c>
      <c r="G64" s="17">
        <f t="shared" si="21"/>
        <v>3.3909452636603492E-2</v>
      </c>
      <c r="H64" s="17">
        <f t="shared" si="21"/>
        <v>3.6322143238519122E-2</v>
      </c>
      <c r="I64" s="17">
        <f t="shared" si="21"/>
        <v>3.9104463958867956E-2</v>
      </c>
      <c r="J64" s="17">
        <f t="shared" si="21"/>
        <v>4.2348403615136226E-2</v>
      </c>
      <c r="K64" s="17">
        <f t="shared" si="21"/>
        <v>4.6179236223928749E-2</v>
      </c>
      <c r="L64" s="17">
        <f t="shared" si="21"/>
        <v>5.0772073190377721E-2</v>
      </c>
      <c r="M64" s="17">
        <f t="shared" si="21"/>
        <v>5.6379383724003175E-2</v>
      </c>
      <c r="N64" s="17">
        <f t="shared" si="21"/>
        <v>6.3379015597141139E-2</v>
      </c>
      <c r="O64" s="17">
        <f t="shared" si="21"/>
        <v>7.2363057862110197E-2</v>
      </c>
      <c r="P64" s="17">
        <f t="shared" si="21"/>
        <v>8.4314764617908669E-2</v>
      </c>
      <c r="Q64" s="17">
        <f t="shared" si="21"/>
        <v>0.10099549304796913</v>
      </c>
      <c r="R64" s="2" t="s">
        <v>47</v>
      </c>
      <c r="S64" s="2"/>
      <c r="T64" s="2">
        <f>(F60-Q60)/(0-Q56)</f>
        <v>-6.2287361599497966E-5</v>
      </c>
      <c r="U64" s="2"/>
      <c r="V64" s="2"/>
      <c r="W64" s="2"/>
      <c r="X64" s="2"/>
      <c r="Y64" s="2"/>
    </row>
    <row r="65" spans="1:25">
      <c r="A65" s="8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"/>
      <c r="S65" s="2"/>
      <c r="T65" s="2"/>
      <c r="U65" s="2"/>
      <c r="V65" s="2"/>
      <c r="W65" s="2"/>
      <c r="X65" s="2"/>
      <c r="Y65" s="2"/>
    </row>
    <row r="66" spans="1:25">
      <c r="A66" s="51" t="s">
        <v>40</v>
      </c>
      <c r="B66" s="51"/>
      <c r="C66" s="51"/>
      <c r="D66" s="49" t="s">
        <v>100</v>
      </c>
      <c r="E66" s="51"/>
      <c r="F66" s="51">
        <v>0</v>
      </c>
      <c r="G66" s="52">
        <f t="shared" ref="G66:Q66" si="22">F66+((F63+G63)/2)*(G56-F56)</f>
        <v>32.961256773861251</v>
      </c>
      <c r="H66" s="52">
        <f t="shared" si="22"/>
        <v>68.399413023050428</v>
      </c>
      <c r="I66" s="52">
        <f t="shared" si="22"/>
        <v>106.64460476149725</v>
      </c>
      <c r="J66" s="52">
        <f t="shared" si="22"/>
        <v>148.1016346866823</v>
      </c>
      <c r="K66" s="52">
        <f t="shared" si="22"/>
        <v>193.27578330528092</v>
      </c>
      <c r="L66" s="52">
        <f t="shared" si="22"/>
        <v>242.81103510536258</v>
      </c>
      <c r="M66" s="52">
        <f t="shared" si="22"/>
        <v>297.54865152456711</v>
      </c>
      <c r="N66" s="52">
        <f t="shared" si="22"/>
        <v>358.62064378899896</v>
      </c>
      <c r="O66" s="52">
        <f t="shared" si="22"/>
        <v>427.6065175949106</v>
      </c>
      <c r="P66" s="52">
        <f t="shared" si="22"/>
        <v>506.81291645682791</v>
      </c>
      <c r="Q66" s="52">
        <f t="shared" si="22"/>
        <v>599.81406587488777</v>
      </c>
      <c r="R66" s="2"/>
      <c r="S66" s="2"/>
      <c r="T66" s="2"/>
      <c r="U66" s="2"/>
      <c r="V66" s="2"/>
      <c r="W66" s="2"/>
      <c r="X66" s="2"/>
      <c r="Y66" s="2"/>
    </row>
    <row r="67" spans="1:25">
      <c r="A67" s="8" t="s">
        <v>50</v>
      </c>
      <c r="B67" s="8"/>
      <c r="C67" s="8"/>
      <c r="D67" s="9" t="s">
        <v>100</v>
      </c>
      <c r="E67" s="8"/>
      <c r="F67" s="8">
        <v>0</v>
      </c>
      <c r="G67" s="17">
        <f t="shared" ref="G67:Q67" si="23">F67+((F64+G64)/2)*(G56-F56)</f>
        <v>32.853387467594906</v>
      </c>
      <c r="H67" s="17">
        <f t="shared" si="23"/>
        <v>67.969185405156225</v>
      </c>
      <c r="I67" s="17">
        <f t="shared" si="23"/>
        <v>105.68248900384977</v>
      </c>
      <c r="J67" s="17">
        <f t="shared" si="23"/>
        <v>146.40892279085188</v>
      </c>
      <c r="K67" s="17">
        <f t="shared" si="23"/>
        <v>190.67274271038437</v>
      </c>
      <c r="L67" s="17">
        <f t="shared" si="23"/>
        <v>239.14839741753761</v>
      </c>
      <c r="M67" s="17">
        <f t="shared" si="23"/>
        <v>292.72412587472809</v>
      </c>
      <c r="N67" s="17">
        <f t="shared" si="23"/>
        <v>352.60332553530026</v>
      </c>
      <c r="O67" s="17">
        <f t="shared" si="23"/>
        <v>420.4743622649259</v>
      </c>
      <c r="P67" s="17">
        <f t="shared" si="23"/>
        <v>498.81327350493535</v>
      </c>
      <c r="Q67" s="17">
        <f t="shared" si="23"/>
        <v>591.46840233787429</v>
      </c>
      <c r="R67" s="2"/>
      <c r="S67" s="2"/>
      <c r="T67" s="2"/>
      <c r="U67" s="2"/>
      <c r="V67" s="2"/>
      <c r="W67" s="2"/>
      <c r="X67" s="2"/>
      <c r="Y67" s="2"/>
    </row>
    <row r="68" spans="1:25">
      <c r="A68" s="8"/>
      <c r="B68" s="8"/>
      <c r="C68" s="8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"/>
      <c r="S68" s="2"/>
      <c r="T68" s="2"/>
      <c r="U68" s="2"/>
      <c r="V68" s="2"/>
      <c r="W68" s="2"/>
      <c r="X68" s="2"/>
      <c r="Y68" s="2"/>
    </row>
    <row r="69" spans="1:25">
      <c r="A69" s="8" t="s">
        <v>88</v>
      </c>
      <c r="B69" s="8"/>
      <c r="C69" s="8"/>
      <c r="D69" s="9" t="s">
        <v>43</v>
      </c>
      <c r="E69" s="8"/>
      <c r="F69" s="21">
        <f t="shared" ref="F69:Q69" si="24">(F60-F61)/F60*100</f>
        <v>0</v>
      </c>
      <c r="G69" s="21">
        <f t="shared" si="24"/>
        <v>-0.63621968435968723</v>
      </c>
      <c r="H69" s="21">
        <f t="shared" si="24"/>
        <v>-1.1810371648667246</v>
      </c>
      <c r="I69" s="21">
        <f t="shared" si="24"/>
        <v>-1.6233396510722204</v>
      </c>
      <c r="J69" s="21">
        <f t="shared" si="24"/>
        <v>-1.9514171421730069</v>
      </c>
      <c r="K69" s="21">
        <f t="shared" si="24"/>
        <v>-2.1530529126306872</v>
      </c>
      <c r="L69" s="21">
        <f t="shared" si="24"/>
        <v>-2.2156487309251025</v>
      </c>
      <c r="M69" s="21">
        <f t="shared" si="24"/>
        <v>-2.1263892038798469</v>
      </c>
      <c r="N69" s="21">
        <f t="shared" si="24"/>
        <v>-1.8724495289442638</v>
      </c>
      <c r="O69" s="21">
        <f t="shared" si="24"/>
        <v>-1.4412520758328418</v>
      </c>
      <c r="P69" s="21">
        <f t="shared" si="24"/>
        <v>-0.82078290009843058</v>
      </c>
      <c r="Q69" s="21">
        <f t="shared" si="24"/>
        <v>-3.5263196288138493E-14</v>
      </c>
      <c r="R69" s="8"/>
      <c r="S69" s="2"/>
      <c r="T69" s="2"/>
      <c r="U69" s="2"/>
      <c r="V69" s="2"/>
      <c r="W69" s="2"/>
      <c r="X69" s="2"/>
      <c r="Y69" s="2"/>
    </row>
    <row r="70" spans="1:25">
      <c r="A70" s="51" t="s">
        <v>89</v>
      </c>
      <c r="B70" s="51"/>
      <c r="C70" s="51"/>
      <c r="D70" s="49" t="s">
        <v>43</v>
      </c>
      <c r="E70" s="51"/>
      <c r="F70" s="53">
        <v>0</v>
      </c>
      <c r="G70" s="53">
        <f t="shared" ref="G70:Q70" si="25">(G66-G67)/G66*100</f>
        <v>0.3272609021142866</v>
      </c>
      <c r="H70" s="53">
        <f t="shared" si="25"/>
        <v>0.6289931431856266</v>
      </c>
      <c r="I70" s="53">
        <f t="shared" si="25"/>
        <v>0.90217011896586985</v>
      </c>
      <c r="J70" s="53">
        <f t="shared" si="25"/>
        <v>1.1429393736345039</v>
      </c>
      <c r="K70" s="53">
        <f t="shared" si="25"/>
        <v>1.3468012134686465</v>
      </c>
      <c r="L70" s="53">
        <f t="shared" si="25"/>
        <v>1.508431314184566</v>
      </c>
      <c r="M70" s="53">
        <f t="shared" si="25"/>
        <v>1.6214241352193393</v>
      </c>
      <c r="N70" s="53">
        <f t="shared" si="25"/>
        <v>1.6779062661097399</v>
      </c>
      <c r="O70" s="53">
        <f t="shared" si="25"/>
        <v>1.6679248413003107</v>
      </c>
      <c r="P70" s="53">
        <f t="shared" si="25"/>
        <v>1.5784212856725783</v>
      </c>
      <c r="Q70" s="53">
        <f t="shared" si="25"/>
        <v>1.3913750963543192</v>
      </c>
      <c r="R70" s="8"/>
      <c r="S70" s="2"/>
      <c r="T70" s="2"/>
      <c r="U70" s="2"/>
      <c r="V70" s="2"/>
      <c r="W70" s="2"/>
      <c r="X70" s="2"/>
      <c r="Y70" s="2"/>
    </row>
    <row r="71" spans="1:25">
      <c r="A71" s="8"/>
      <c r="B71" s="8"/>
      <c r="C71" s="8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/>
      <c r="T71" s="2"/>
      <c r="U71" s="2"/>
      <c r="V71" s="2"/>
      <c r="W71" s="2"/>
      <c r="X71" s="2"/>
      <c r="Y71" s="2"/>
    </row>
    <row r="72" spans="1:25" ht="15.75" thickBot="1">
      <c r="A72" s="13" t="s">
        <v>52</v>
      </c>
      <c r="B72" s="13"/>
      <c r="C72" s="13"/>
      <c r="D72" s="14" t="s">
        <v>100</v>
      </c>
      <c r="E72" s="13"/>
      <c r="F72" s="13">
        <v>0</v>
      </c>
      <c r="G72" s="19">
        <f t="shared" ref="G72:Q72" si="26">G66-F66</f>
        <v>32.961256773861251</v>
      </c>
      <c r="H72" s="19">
        <f t="shared" si="26"/>
        <v>35.438156249189177</v>
      </c>
      <c r="I72" s="19">
        <f t="shared" si="26"/>
        <v>38.24519173844682</v>
      </c>
      <c r="J72" s="19">
        <f t="shared" si="26"/>
        <v>41.457029925185054</v>
      </c>
      <c r="K72" s="19">
        <f t="shared" si="26"/>
        <v>45.174148618598622</v>
      </c>
      <c r="L72" s="19">
        <f t="shared" si="26"/>
        <v>49.535251800081653</v>
      </c>
      <c r="M72" s="19">
        <f t="shared" si="26"/>
        <v>54.737616419204528</v>
      </c>
      <c r="N72" s="19">
        <f t="shared" si="26"/>
        <v>61.071992264431856</v>
      </c>
      <c r="O72" s="19">
        <f t="shared" si="26"/>
        <v>68.985873805911638</v>
      </c>
      <c r="P72" s="19">
        <f t="shared" si="26"/>
        <v>79.206398861917307</v>
      </c>
      <c r="Q72" s="19">
        <f t="shared" si="26"/>
        <v>93.001149418059867</v>
      </c>
      <c r="R72" s="8"/>
      <c r="S72" s="2"/>
      <c r="T72" s="2"/>
      <c r="U72" s="2"/>
      <c r="V72" s="2"/>
      <c r="W72" s="2"/>
      <c r="X72" s="2"/>
      <c r="Y72" s="2"/>
    </row>
    <row r="73" spans="1:25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2"/>
      <c r="T73" s="2"/>
      <c r="U73" s="2"/>
      <c r="V73" s="2"/>
      <c r="W73" s="2"/>
      <c r="X73" s="2"/>
      <c r="Y73" s="2"/>
    </row>
    <row r="74" spans="1:25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/>
      <c r="T74" s="2"/>
      <c r="U74" s="2"/>
      <c r="V74" s="2"/>
      <c r="W74" s="2"/>
      <c r="X74" s="2"/>
      <c r="Y74" s="2"/>
    </row>
    <row r="75" spans="1: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5"/>
  <sheetViews>
    <sheetView zoomScaleNormal="100" workbookViewId="0">
      <selection activeCell="A3" sqref="A3"/>
    </sheetView>
  </sheetViews>
  <sheetFormatPr baseColWidth="10" defaultRowHeight="15"/>
  <cols>
    <col min="2" max="2" width="12" customWidth="1"/>
    <col min="3" max="3" width="11.5703125" bestFit="1" customWidth="1"/>
    <col min="6" max="6" width="15" bestFit="1" customWidth="1"/>
    <col min="7" max="8" width="16" bestFit="1" customWidth="1"/>
    <col min="9" max="9" width="16.42578125" customWidth="1"/>
    <col min="10" max="12" width="16" bestFit="1" customWidth="1"/>
    <col min="13" max="16" width="16.85546875" bestFit="1" customWidth="1"/>
    <col min="17" max="17" width="16.140625" bestFit="1" customWidth="1"/>
    <col min="19" max="19" width="12.7109375" bestFit="1" customWidth="1"/>
    <col min="20" max="20" width="15.85546875" bestFit="1" customWidth="1"/>
  </cols>
  <sheetData>
    <row r="1" spans="1:27" ht="20.25">
      <c r="A1" s="60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0.25">
      <c r="A2" s="61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thickBot="1">
      <c r="A4" s="2"/>
      <c r="B4" s="5" t="s">
        <v>2</v>
      </c>
      <c r="C4" s="5"/>
      <c r="D4" s="5"/>
      <c r="E4" s="5"/>
      <c r="F4" s="5"/>
      <c r="G4" s="5"/>
      <c r="H4" s="2"/>
      <c r="I4" s="2"/>
      <c r="J4" s="5" t="s">
        <v>57</v>
      </c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2"/>
      <c r="B5" s="8" t="s">
        <v>5</v>
      </c>
      <c r="C5" s="8"/>
      <c r="D5" s="8"/>
      <c r="E5" s="8"/>
      <c r="F5" s="22">
        <v>75000</v>
      </c>
      <c r="G5" s="8" t="s">
        <v>12</v>
      </c>
      <c r="H5" s="2"/>
      <c r="I5" s="2"/>
      <c r="J5" s="8" t="s">
        <v>3</v>
      </c>
      <c r="K5" s="8"/>
      <c r="L5" s="22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>
      <c r="A6" s="2"/>
      <c r="B6" s="8" t="s">
        <v>0</v>
      </c>
      <c r="C6" s="8"/>
      <c r="D6" s="8"/>
      <c r="E6" s="8"/>
      <c r="F6" s="23">
        <v>123</v>
      </c>
      <c r="G6" s="8" t="s">
        <v>60</v>
      </c>
      <c r="H6" s="2"/>
      <c r="I6" s="2"/>
      <c r="J6" s="8" t="s">
        <v>33</v>
      </c>
      <c r="K6" s="8"/>
      <c r="L6" s="23">
        <v>1.4</v>
      </c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2"/>
      <c r="B7" s="8" t="s">
        <v>22</v>
      </c>
      <c r="C7" s="8"/>
      <c r="D7" s="8"/>
      <c r="E7" s="8"/>
      <c r="F7" s="23">
        <v>34</v>
      </c>
      <c r="G7" s="8" t="s">
        <v>11</v>
      </c>
      <c r="H7" s="2"/>
      <c r="I7" s="2"/>
      <c r="J7" s="8" t="s">
        <v>1</v>
      </c>
      <c r="K7" s="8"/>
      <c r="L7" s="23">
        <v>287.05700000000002</v>
      </c>
      <c r="M7" s="8" t="s">
        <v>13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2"/>
      <c r="B8" s="8" t="s">
        <v>96</v>
      </c>
      <c r="C8" s="8"/>
      <c r="D8" s="8"/>
      <c r="E8" s="8"/>
      <c r="F8" s="23">
        <f>F7^2/F6</f>
        <v>9.3983739837398375</v>
      </c>
      <c r="G8" s="8" t="s">
        <v>101</v>
      </c>
      <c r="H8" s="2"/>
      <c r="I8" s="2"/>
      <c r="J8" s="8"/>
      <c r="K8" s="8"/>
      <c r="L8" s="23"/>
      <c r="M8" s="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6.5">
      <c r="A9" s="2"/>
      <c r="B9" s="8" t="s">
        <v>110</v>
      </c>
      <c r="C9" s="8"/>
      <c r="D9" s="8"/>
      <c r="E9" s="8"/>
      <c r="F9" s="23">
        <v>0.02</v>
      </c>
      <c r="G9" s="8" t="s">
        <v>101</v>
      </c>
      <c r="H9" s="2"/>
      <c r="I9" s="2"/>
      <c r="J9" s="8" t="s">
        <v>61</v>
      </c>
      <c r="K9" s="8"/>
      <c r="L9" s="23">
        <f>2.2558*10^-5</f>
        <v>2.2558E-5</v>
      </c>
      <c r="M9" s="55" t="s">
        <v>113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>
      <c r="A10" s="2"/>
      <c r="B10" s="8" t="s">
        <v>6</v>
      </c>
      <c r="C10" s="8"/>
      <c r="D10" s="8"/>
      <c r="E10" s="8"/>
      <c r="F10" s="23">
        <v>0.75</v>
      </c>
      <c r="G10" s="8" t="s">
        <v>101</v>
      </c>
      <c r="H10" s="2"/>
      <c r="I10" s="2"/>
      <c r="J10" s="8" t="s">
        <v>9</v>
      </c>
      <c r="K10" s="8"/>
      <c r="L10" s="23">
        <f>6.67248*10^-11</f>
        <v>6.6724799999999995E-11</v>
      </c>
      <c r="M10" s="8" t="s">
        <v>112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6.5">
      <c r="A11" s="2"/>
      <c r="B11" s="8" t="s">
        <v>62</v>
      </c>
      <c r="C11" s="8"/>
      <c r="D11" s="8"/>
      <c r="E11" s="8"/>
      <c r="F11" s="23">
        <v>0.82</v>
      </c>
      <c r="G11" s="8" t="s">
        <v>101</v>
      </c>
      <c r="H11" s="2"/>
      <c r="I11" s="2"/>
      <c r="J11" s="8" t="s">
        <v>10</v>
      </c>
      <c r="K11" s="8"/>
      <c r="L11" s="23">
        <f>6.38*10^6</f>
        <v>6380000</v>
      </c>
      <c r="M11" s="8" t="s">
        <v>11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7.25" thickBot="1">
      <c r="A12" s="2"/>
      <c r="B12" s="8" t="s">
        <v>7</v>
      </c>
      <c r="C12" s="8"/>
      <c r="D12" s="8"/>
      <c r="E12" s="8"/>
      <c r="F12" s="23">
        <v>4.5999999999999996</v>
      </c>
      <c r="G12" s="8" t="s">
        <v>101</v>
      </c>
      <c r="H12" s="2"/>
      <c r="I12" s="2"/>
      <c r="J12" s="13" t="s">
        <v>63</v>
      </c>
      <c r="K12" s="13"/>
      <c r="L12" s="24">
        <f>5.98*10^24</f>
        <v>5.9800000000000005E+24</v>
      </c>
      <c r="M12" s="13" t="s">
        <v>12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7.25" thickBot="1">
      <c r="A13" s="2"/>
      <c r="B13" s="13" t="s">
        <v>108</v>
      </c>
      <c r="C13" s="13"/>
      <c r="D13" s="13"/>
      <c r="E13" s="13"/>
      <c r="F13" s="24">
        <v>150000</v>
      </c>
      <c r="G13" s="13" t="s">
        <v>58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thickBot="1">
      <c r="A14" s="2"/>
      <c r="B14" s="2"/>
      <c r="C14" s="2"/>
      <c r="D14" s="2"/>
      <c r="E14" s="2"/>
      <c r="F14" s="2"/>
      <c r="G14" s="2"/>
      <c r="H14" s="2"/>
      <c r="I14" s="2"/>
      <c r="J14" s="6"/>
      <c r="K14" s="6" t="s">
        <v>27</v>
      </c>
      <c r="L14" s="6"/>
      <c r="M14" s="6"/>
      <c r="N14" s="6"/>
      <c r="O14" s="6"/>
      <c r="P14" s="6"/>
      <c r="Q14" s="5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6.5">
      <c r="A15" s="2"/>
      <c r="B15" s="2"/>
      <c r="C15" s="2"/>
      <c r="D15" s="2"/>
      <c r="E15" s="2"/>
      <c r="F15" s="2"/>
      <c r="G15" s="2"/>
      <c r="H15" s="2"/>
      <c r="I15" s="2"/>
      <c r="J15" s="6" t="s">
        <v>28</v>
      </c>
      <c r="K15" s="20" t="s">
        <v>74</v>
      </c>
      <c r="L15" s="7" t="s">
        <v>82</v>
      </c>
      <c r="M15" s="29" t="s">
        <v>83</v>
      </c>
      <c r="N15" s="29" t="s">
        <v>84</v>
      </c>
      <c r="O15" s="29" t="s">
        <v>85</v>
      </c>
      <c r="P15" s="6" t="s">
        <v>97</v>
      </c>
      <c r="Q15" s="22" t="s">
        <v>98</v>
      </c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2"/>
      <c r="B16" s="2"/>
      <c r="C16" s="2"/>
      <c r="D16" s="2"/>
      <c r="E16" s="2"/>
      <c r="F16" s="2"/>
      <c r="G16" s="2"/>
      <c r="H16" s="2"/>
      <c r="I16" s="2"/>
      <c r="J16" s="25">
        <v>1</v>
      </c>
      <c r="K16" s="26" t="s">
        <v>29</v>
      </c>
      <c r="L16" s="25">
        <v>1</v>
      </c>
      <c r="M16" s="25">
        <v>0</v>
      </c>
      <c r="N16" s="25">
        <v>-0.2</v>
      </c>
      <c r="O16" s="25">
        <v>7.0000000000000007E-2</v>
      </c>
      <c r="P16" s="25">
        <v>0.8</v>
      </c>
      <c r="Q16" s="25"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2"/>
      <c r="B17" s="2"/>
      <c r="C17" s="2"/>
      <c r="D17" s="2"/>
      <c r="E17" s="2"/>
      <c r="F17" s="2"/>
      <c r="G17" s="2"/>
      <c r="H17" s="2"/>
      <c r="I17" s="2"/>
      <c r="J17" s="8"/>
      <c r="K17" s="9" t="s">
        <v>30</v>
      </c>
      <c r="L17" s="8">
        <v>0.85599999999999998</v>
      </c>
      <c r="M17" s="8">
        <v>6.2E-2</v>
      </c>
      <c r="N17" s="8">
        <v>0.16</v>
      </c>
      <c r="O17" s="8">
        <v>-0.23</v>
      </c>
      <c r="P17" s="8">
        <v>0.8</v>
      </c>
      <c r="Q17" s="8">
        <v>1</v>
      </c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2"/>
      <c r="B18" s="2"/>
      <c r="C18" s="2"/>
      <c r="D18" s="2"/>
      <c r="E18" s="2"/>
      <c r="F18" s="2"/>
      <c r="G18" s="2"/>
      <c r="H18" s="2"/>
      <c r="I18" s="2"/>
      <c r="J18" s="47" t="s">
        <v>31</v>
      </c>
      <c r="K18" s="9" t="s">
        <v>29</v>
      </c>
      <c r="L18" s="8">
        <v>1</v>
      </c>
      <c r="M18" s="8">
        <v>0</v>
      </c>
      <c r="N18" s="8">
        <v>-0.6</v>
      </c>
      <c r="O18" s="8">
        <v>-0.04</v>
      </c>
      <c r="P18" s="8">
        <v>0.7</v>
      </c>
      <c r="Q18" s="8">
        <v>1</v>
      </c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2"/>
      <c r="B19" s="2"/>
      <c r="C19" s="2"/>
      <c r="D19" s="2"/>
      <c r="E19" s="2"/>
      <c r="F19" s="2"/>
      <c r="G19" s="2"/>
      <c r="H19" s="2"/>
      <c r="I19" s="2"/>
      <c r="J19" s="8"/>
      <c r="K19" s="9" t="s">
        <v>30</v>
      </c>
      <c r="L19" s="8">
        <v>0.88</v>
      </c>
      <c r="M19" s="8">
        <v>-1.6E-2</v>
      </c>
      <c r="N19" s="8">
        <v>-0.3</v>
      </c>
      <c r="O19" s="8">
        <v>0</v>
      </c>
      <c r="P19" s="8">
        <v>0.7</v>
      </c>
      <c r="Q19" s="8">
        <v>1</v>
      </c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2"/>
      <c r="B20" s="2"/>
      <c r="C20" s="2"/>
      <c r="D20" s="2"/>
      <c r="E20" s="2"/>
      <c r="F20" s="2"/>
      <c r="G20" s="2"/>
      <c r="H20" s="2"/>
      <c r="I20" s="2"/>
      <c r="J20" s="8">
        <v>8</v>
      </c>
      <c r="K20" s="9" t="s">
        <v>29</v>
      </c>
      <c r="L20" s="8">
        <v>1</v>
      </c>
      <c r="M20" s="8">
        <v>0</v>
      </c>
      <c r="N20" s="8">
        <v>-0.59499999999999997</v>
      </c>
      <c r="O20" s="8">
        <v>-0.03</v>
      </c>
      <c r="P20" s="8">
        <v>0.7</v>
      </c>
      <c r="Q20" s="8">
        <v>1</v>
      </c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thickBot="1">
      <c r="A21" s="2"/>
      <c r="B21" s="2"/>
      <c r="C21" s="2"/>
      <c r="D21" s="2"/>
      <c r="E21" s="2"/>
      <c r="F21" s="2"/>
      <c r="G21" s="2"/>
      <c r="H21" s="2"/>
      <c r="I21" s="2"/>
      <c r="J21" s="13"/>
      <c r="K21" s="14" t="s">
        <v>30</v>
      </c>
      <c r="L21" s="13">
        <v>0.89</v>
      </c>
      <c r="M21" s="13">
        <v>-1.4E-2</v>
      </c>
      <c r="N21" s="13">
        <v>-0.3</v>
      </c>
      <c r="O21" s="13">
        <v>5.0000000000000001E-3</v>
      </c>
      <c r="P21" s="13">
        <v>0.7</v>
      </c>
      <c r="Q21" s="13">
        <v>1</v>
      </c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15" t="s">
        <v>8</v>
      </c>
      <c r="B23" s="15"/>
      <c r="C23" s="15"/>
      <c r="D23" s="16"/>
      <c r="E23" s="15"/>
      <c r="F23" s="15">
        <v>0</v>
      </c>
      <c r="G23" s="15">
        <v>1000</v>
      </c>
      <c r="H23" s="15">
        <v>2000</v>
      </c>
      <c r="I23" s="15">
        <v>3000</v>
      </c>
      <c r="J23" s="15">
        <v>4000</v>
      </c>
      <c r="K23" s="15">
        <v>5000</v>
      </c>
      <c r="L23" s="15">
        <v>6000</v>
      </c>
      <c r="M23" s="15">
        <v>7000</v>
      </c>
      <c r="N23" s="15">
        <v>8000</v>
      </c>
      <c r="O23" s="15">
        <v>9000</v>
      </c>
      <c r="P23" s="15">
        <v>10000</v>
      </c>
      <c r="Q23" s="15">
        <v>11000</v>
      </c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25" t="s">
        <v>33</v>
      </c>
      <c r="B24" s="25"/>
      <c r="C24" s="25"/>
      <c r="D24" s="26" t="s">
        <v>101</v>
      </c>
      <c r="E24" s="25"/>
      <c r="F24" s="25">
        <f>L6</f>
        <v>1.4</v>
      </c>
      <c r="G24" s="25">
        <f>F24</f>
        <v>1.4</v>
      </c>
      <c r="H24" s="25">
        <f t="shared" ref="H24:Q24" si="0">G24</f>
        <v>1.4</v>
      </c>
      <c r="I24" s="25">
        <f t="shared" si="0"/>
        <v>1.4</v>
      </c>
      <c r="J24" s="25">
        <f t="shared" si="0"/>
        <v>1.4</v>
      </c>
      <c r="K24" s="25">
        <f t="shared" si="0"/>
        <v>1.4</v>
      </c>
      <c r="L24" s="25">
        <f t="shared" si="0"/>
        <v>1.4</v>
      </c>
      <c r="M24" s="25">
        <f t="shared" si="0"/>
        <v>1.4</v>
      </c>
      <c r="N24" s="25">
        <f t="shared" si="0"/>
        <v>1.4</v>
      </c>
      <c r="O24" s="25">
        <f t="shared" si="0"/>
        <v>1.4</v>
      </c>
      <c r="P24" s="25">
        <f t="shared" si="0"/>
        <v>1.4</v>
      </c>
      <c r="Q24" s="25">
        <f t="shared" si="0"/>
        <v>1.4</v>
      </c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8" t="s">
        <v>4</v>
      </c>
      <c r="B25" s="8"/>
      <c r="C25" s="8"/>
      <c r="D25" s="9" t="s">
        <v>13</v>
      </c>
      <c r="E25" s="8"/>
      <c r="F25" s="8">
        <f>L7</f>
        <v>287.05700000000002</v>
      </c>
      <c r="G25" s="8">
        <f>F25</f>
        <v>287.05700000000002</v>
      </c>
      <c r="H25" s="8">
        <f t="shared" ref="H25:Q25" si="1">G25</f>
        <v>287.05700000000002</v>
      </c>
      <c r="I25" s="8">
        <f t="shared" si="1"/>
        <v>287.05700000000002</v>
      </c>
      <c r="J25" s="8">
        <f t="shared" si="1"/>
        <v>287.05700000000002</v>
      </c>
      <c r="K25" s="8">
        <f t="shared" si="1"/>
        <v>287.05700000000002</v>
      </c>
      <c r="L25" s="8">
        <f t="shared" si="1"/>
        <v>287.05700000000002</v>
      </c>
      <c r="M25" s="8">
        <f t="shared" si="1"/>
        <v>287.05700000000002</v>
      </c>
      <c r="N25" s="8">
        <f t="shared" si="1"/>
        <v>287.05700000000002</v>
      </c>
      <c r="O25" s="8">
        <f t="shared" si="1"/>
        <v>287.05700000000002</v>
      </c>
      <c r="P25" s="8">
        <f t="shared" si="1"/>
        <v>287.05700000000002</v>
      </c>
      <c r="Q25" s="8">
        <f t="shared" si="1"/>
        <v>287.05700000000002</v>
      </c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>
      <c r="A26" s="8" t="s">
        <v>69</v>
      </c>
      <c r="B26" s="8"/>
      <c r="C26" s="8"/>
      <c r="D26" s="57" t="s">
        <v>111</v>
      </c>
      <c r="E26" s="8"/>
      <c r="F26" s="17">
        <f>1.225*(1-L9*F23)^4.25588</f>
        <v>1.2250000000000001</v>
      </c>
      <c r="G26" s="17">
        <f>1.225*(1-L9*G23)^4.25588</f>
        <v>1.1116410059684421</v>
      </c>
      <c r="H26" s="17">
        <f>1.225*(1-L9*H23)^4.25588</f>
        <v>1.0064873432666894</v>
      </c>
      <c r="I26" s="17">
        <f>1.225*(1-L9*I23)^4.25588</f>
        <v>0.90911804665890827</v>
      </c>
      <c r="J26" s="17">
        <f>1.225*(1-L9*J23)^4.25588</f>
        <v>0.81912445706567716</v>
      </c>
      <c r="K26" s="17">
        <f>1.225*(1-L9*K23)^4.25588</f>
        <v>0.73611014650140227</v>
      </c>
      <c r="L26" s="17">
        <f>1.225*(1-L9*L23)^4.25588</f>
        <v>0.65969084164738856</v>
      </c>
      <c r="M26" s="17">
        <f>1.225*(1-L9*M23)^4.25588</f>
        <v>0.58949434600097872</v>
      </c>
      <c r="N26" s="17">
        <f>1.225*(1-L9*N23)^4.25588</f>
        <v>0.52516046053695253</v>
      </c>
      <c r="O26" s="17">
        <f>1.225*(1-L9*O23)^4.25588</f>
        <v>0.46634090281278195</v>
      </c>
      <c r="P26" s="17">
        <f>1.225*(1-L9*P23)^4.25588</f>
        <v>0.41269922444423646</v>
      </c>
      <c r="Q26" s="17">
        <f>1.225*(1-L9*Q23)^4.25588</f>
        <v>0.36391072687221748</v>
      </c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8" t="s">
        <v>34</v>
      </c>
      <c r="B27" s="8"/>
      <c r="C27" s="8"/>
      <c r="D27" s="9" t="s">
        <v>102</v>
      </c>
      <c r="E27" s="8"/>
      <c r="F27" s="18">
        <f>(8.9621474842-0.0002021654*F23)^5.2558306254</f>
        <v>101325.00000088572</v>
      </c>
      <c r="G27" s="18">
        <f t="shared" ref="G27:Q27" si="2">(8.9621474842-0.0002021654*G23)^5.2558306254</f>
        <v>89874.663524538017</v>
      </c>
      <c r="H27" s="18">
        <f t="shared" si="2"/>
        <v>79495.381984628548</v>
      </c>
      <c r="I27" s="18">
        <f t="shared" si="2"/>
        <v>70108.767510416699</v>
      </c>
      <c r="J27" s="18">
        <f t="shared" si="2"/>
        <v>61640.499700318927</v>
      </c>
      <c r="K27" s="18">
        <f t="shared" si="2"/>
        <v>54020.205324521725</v>
      </c>
      <c r="L27" s="18">
        <f t="shared" si="2"/>
        <v>47181.338770084076</v>
      </c>
      <c r="M27" s="18">
        <f t="shared" si="2"/>
        <v>41061.063242198135</v>
      </c>
      <c r="N27" s="18">
        <f t="shared" si="2"/>
        <v>35600.132735873492</v>
      </c>
      <c r="O27" s="18">
        <f t="shared" si="2"/>
        <v>30742.774792963755</v>
      </c>
      <c r="P27" s="18">
        <f t="shared" si="2"/>
        <v>26436.574060147057</v>
      </c>
      <c r="Q27" s="18">
        <f t="shared" si="2"/>
        <v>22632.356664219718</v>
      </c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8" t="s">
        <v>37</v>
      </c>
      <c r="B28" s="8"/>
      <c r="C28" s="8"/>
      <c r="D28" s="9" t="s">
        <v>26</v>
      </c>
      <c r="E28" s="8"/>
      <c r="F28" s="8">
        <f>288.15-0.0065*F23</f>
        <v>288.14999999999998</v>
      </c>
      <c r="G28" s="8">
        <f t="shared" ref="G28:Q28" si="3">288.15-0.0065*G23</f>
        <v>281.64999999999998</v>
      </c>
      <c r="H28" s="8">
        <f t="shared" si="3"/>
        <v>275.14999999999998</v>
      </c>
      <c r="I28" s="8">
        <f t="shared" si="3"/>
        <v>268.64999999999998</v>
      </c>
      <c r="J28" s="8">
        <f t="shared" si="3"/>
        <v>262.14999999999998</v>
      </c>
      <c r="K28" s="8">
        <f t="shared" si="3"/>
        <v>255.64999999999998</v>
      </c>
      <c r="L28" s="8">
        <f t="shared" si="3"/>
        <v>249.14999999999998</v>
      </c>
      <c r="M28" s="8">
        <f t="shared" si="3"/>
        <v>242.64999999999998</v>
      </c>
      <c r="N28" s="8">
        <f t="shared" si="3"/>
        <v>236.14999999999998</v>
      </c>
      <c r="O28" s="8">
        <f t="shared" si="3"/>
        <v>229.64999999999998</v>
      </c>
      <c r="P28" s="8">
        <f t="shared" si="3"/>
        <v>223.14999999999998</v>
      </c>
      <c r="Q28" s="8">
        <f t="shared" si="3"/>
        <v>216.64999999999998</v>
      </c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.75" thickBot="1">
      <c r="A29" s="13" t="s">
        <v>55</v>
      </c>
      <c r="B29" s="13"/>
      <c r="C29" s="13"/>
      <c r="D29" s="14" t="s">
        <v>70</v>
      </c>
      <c r="E29" s="13"/>
      <c r="F29" s="19">
        <f>L10*L12/(L11+F23)^2</f>
        <v>9.802731498314678</v>
      </c>
      <c r="G29" s="19">
        <f>L10*L12/(L11+G23)^2</f>
        <v>9.7996592640631306</v>
      </c>
      <c r="H29" s="19">
        <f>L10*L12/(L11+H23)^2</f>
        <v>9.7965884738699742</v>
      </c>
      <c r="I29" s="19">
        <f>L10*L12/(L11+I23)^2</f>
        <v>9.7935191268303381</v>
      </c>
      <c r="J29" s="19">
        <f>L10*L12/(L11+J23)^2</f>
        <v>9.7904512220400619</v>
      </c>
      <c r="K29" s="19">
        <f>L10*L12/(L11+K23)^2</f>
        <v>9.7873847585956959</v>
      </c>
      <c r="L29" s="19">
        <f>L10*L12/(L11+L23)^2</f>
        <v>9.784319735594492</v>
      </c>
      <c r="M29" s="19">
        <f>L10*L12/(L11+M23)^2</f>
        <v>9.7812561521344108</v>
      </c>
      <c r="N29" s="19">
        <f>L10*L12/(L11+N23)^2</f>
        <v>9.7781940073141218</v>
      </c>
      <c r="O29" s="19">
        <f>L10*L12/(L11+O23)^2</f>
        <v>9.7751333002329943</v>
      </c>
      <c r="P29" s="19">
        <f>L10*L12/(L11+P23)^2</f>
        <v>9.77207402999111</v>
      </c>
      <c r="Q29" s="19">
        <f>L10*L12/(L11+Q23)^2</f>
        <v>9.7690161956892467</v>
      </c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15" t="s">
        <v>14</v>
      </c>
      <c r="B33" s="15"/>
      <c r="C33" s="15"/>
      <c r="D33" s="16" t="s">
        <v>58</v>
      </c>
      <c r="E33" s="15"/>
      <c r="F33" s="56">
        <f>F35*F44^2+F38*F44^-2</f>
        <v>88519.340337864254</v>
      </c>
      <c r="G33" s="56">
        <f t="shared" ref="G33:Q33" si="4">G35*G44^2+G38*G44^-2</f>
        <v>83740.838640337373</v>
      </c>
      <c r="H33" s="56">
        <f t="shared" si="4"/>
        <v>79242.710135333793</v>
      </c>
      <c r="I33" s="56">
        <f t="shared" si="4"/>
        <v>75023.570624088767</v>
      </c>
      <c r="J33" s="56">
        <f t="shared" si="4"/>
        <v>71082.287216619356</v>
      </c>
      <c r="K33" s="56">
        <f t="shared" si="4"/>
        <v>67417.941697225644</v>
      </c>
      <c r="L33" s="56">
        <f t="shared" si="4"/>
        <v>64029.769542518654</v>
      </c>
      <c r="M33" s="56">
        <f t="shared" si="4"/>
        <v>60917.067490001966</v>
      </c>
      <c r="N33" s="56">
        <f t="shared" si="4"/>
        <v>58079.061955635058</v>
      </c>
      <c r="O33" s="56">
        <f t="shared" si="4"/>
        <v>55514.730789172892</v>
      </c>
      <c r="P33" s="56">
        <f t="shared" si="4"/>
        <v>53222.572392560272</v>
      </c>
      <c r="Q33" s="56">
        <f t="shared" si="4"/>
        <v>51200.319763223393</v>
      </c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8"/>
      <c r="B34" s="8"/>
      <c r="C34" s="8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40" t="s">
        <v>15</v>
      </c>
      <c r="B35" s="40"/>
      <c r="C35" s="40"/>
      <c r="D35" s="41" t="s">
        <v>114</v>
      </c>
      <c r="E35" s="40"/>
      <c r="F35" s="42">
        <f>0.5*F26*F36*F37</f>
        <v>1.50675</v>
      </c>
      <c r="G35" s="42">
        <f t="shared" ref="G35:P35" si="5">0.5*G26*G36*G37</f>
        <v>1.3673184373411837</v>
      </c>
      <c r="H35" s="42">
        <f t="shared" si="5"/>
        <v>1.237979432218028</v>
      </c>
      <c r="I35" s="42">
        <f t="shared" si="5"/>
        <v>1.118215197390457</v>
      </c>
      <c r="J35" s="42">
        <f t="shared" si="5"/>
        <v>1.007523082190783</v>
      </c>
      <c r="K35" s="42">
        <f t="shared" si="5"/>
        <v>0.9054154801967248</v>
      </c>
      <c r="L35" s="42">
        <f t="shared" si="5"/>
        <v>0.81141973522628796</v>
      </c>
      <c r="M35" s="42">
        <f t="shared" si="5"/>
        <v>0.72507804558120381</v>
      </c>
      <c r="N35" s="42">
        <f t="shared" si="5"/>
        <v>0.64594736646045159</v>
      </c>
      <c r="O35" s="42">
        <f t="shared" si="5"/>
        <v>0.57359931045972179</v>
      </c>
      <c r="P35" s="42">
        <f t="shared" si="5"/>
        <v>0.50762004606641076</v>
      </c>
      <c r="Q35" s="42">
        <f>0.5*Q26*Q36*Q37</f>
        <v>0.44761019405282754</v>
      </c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6.5">
      <c r="A36" s="8"/>
      <c r="B36" s="8" t="s">
        <v>71</v>
      </c>
      <c r="C36" s="8"/>
      <c r="D36" s="9" t="s">
        <v>101</v>
      </c>
      <c r="E36" s="8"/>
      <c r="F36" s="8">
        <f>F9</f>
        <v>0.02</v>
      </c>
      <c r="G36" s="8">
        <f>F36</f>
        <v>0.02</v>
      </c>
      <c r="H36" s="8">
        <f>G36</f>
        <v>0.02</v>
      </c>
      <c r="I36" s="8">
        <f t="shared" ref="I36:Q36" si="6">H36</f>
        <v>0.02</v>
      </c>
      <c r="J36" s="8">
        <f t="shared" si="6"/>
        <v>0.02</v>
      </c>
      <c r="K36" s="8">
        <f t="shared" si="6"/>
        <v>0.02</v>
      </c>
      <c r="L36" s="8">
        <f t="shared" si="6"/>
        <v>0.02</v>
      </c>
      <c r="M36" s="8">
        <f t="shared" si="6"/>
        <v>0.02</v>
      </c>
      <c r="N36" s="8">
        <f t="shared" si="6"/>
        <v>0.02</v>
      </c>
      <c r="O36" s="8">
        <f t="shared" si="6"/>
        <v>0.02</v>
      </c>
      <c r="P36" s="8">
        <f t="shared" si="6"/>
        <v>0.02</v>
      </c>
      <c r="Q36" s="8">
        <f t="shared" si="6"/>
        <v>0.02</v>
      </c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>
      <c r="A37" s="8"/>
      <c r="B37" s="8" t="s">
        <v>17</v>
      </c>
      <c r="C37" s="8"/>
      <c r="D37" s="9" t="s">
        <v>60</v>
      </c>
      <c r="E37" s="8"/>
      <c r="F37" s="8">
        <f>F6</f>
        <v>123</v>
      </c>
      <c r="G37" s="8">
        <f>F37</f>
        <v>123</v>
      </c>
      <c r="H37" s="8">
        <f t="shared" ref="H37:Q37" si="7">G37</f>
        <v>123</v>
      </c>
      <c r="I37" s="8">
        <f t="shared" si="7"/>
        <v>123</v>
      </c>
      <c r="J37" s="8">
        <f t="shared" si="7"/>
        <v>123</v>
      </c>
      <c r="K37" s="8">
        <f t="shared" si="7"/>
        <v>123</v>
      </c>
      <c r="L37" s="8">
        <f t="shared" si="7"/>
        <v>123</v>
      </c>
      <c r="M37" s="8">
        <f t="shared" si="7"/>
        <v>123</v>
      </c>
      <c r="N37" s="8">
        <f t="shared" si="7"/>
        <v>123</v>
      </c>
      <c r="O37" s="8">
        <f t="shared" si="7"/>
        <v>123</v>
      </c>
      <c r="P37" s="8">
        <f t="shared" si="7"/>
        <v>123</v>
      </c>
      <c r="Q37" s="8">
        <f t="shared" si="7"/>
        <v>123</v>
      </c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40" t="s">
        <v>16</v>
      </c>
      <c r="B38" s="40"/>
      <c r="C38" s="40"/>
      <c r="D38" s="41" t="s">
        <v>114</v>
      </c>
      <c r="E38" s="40"/>
      <c r="F38" s="43">
        <f>(2*F39^2*F29^2)/(F26*F37*F40*F41*F42)</f>
        <v>323997514.12909204</v>
      </c>
      <c r="G38" s="43">
        <f t="shared" ref="G38:Q38" si="8">(2*G39^2*G29^2)/(G26*G37*G40*G41*G42)</f>
        <v>356813226.51730007</v>
      </c>
      <c r="H38" s="43">
        <f t="shared" si="8"/>
        <v>393844662.63963383</v>
      </c>
      <c r="I38" s="43">
        <f t="shared" si="8"/>
        <v>435753440.77165025</v>
      </c>
      <c r="J38" s="43">
        <f t="shared" si="8"/>
        <v>483324794.77141041</v>
      </c>
      <c r="K38" s="43">
        <f t="shared" si="8"/>
        <v>537494557.66991234</v>
      </c>
      <c r="L38" s="43">
        <f t="shared" si="8"/>
        <v>599382929.4174993</v>
      </c>
      <c r="M38" s="43">
        <f t="shared" si="8"/>
        <v>670336971.61153889</v>
      </c>
      <c r="N38" s="43">
        <f t="shared" si="8"/>
        <v>751984400.18879056</v>
      </c>
      <c r="O38" s="43">
        <f t="shared" si="8"/>
        <v>846302102.88682079</v>
      </c>
      <c r="P38" s="43">
        <f t="shared" si="8"/>
        <v>955703983.71455252</v>
      </c>
      <c r="Q38" s="43">
        <f t="shared" si="8"/>
        <v>1083154364.8633914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8"/>
      <c r="B39" s="8" t="s">
        <v>11</v>
      </c>
      <c r="C39" s="8"/>
      <c r="D39" s="9" t="s">
        <v>12</v>
      </c>
      <c r="E39" s="8"/>
      <c r="F39" s="8">
        <f>F5</f>
        <v>75000</v>
      </c>
      <c r="G39" s="8">
        <f>F39</f>
        <v>75000</v>
      </c>
      <c r="H39" s="8">
        <f t="shared" ref="H39:Q39" si="9">G39</f>
        <v>75000</v>
      </c>
      <c r="I39" s="8">
        <f t="shared" si="9"/>
        <v>75000</v>
      </c>
      <c r="J39" s="8">
        <f t="shared" si="9"/>
        <v>75000</v>
      </c>
      <c r="K39" s="8">
        <f t="shared" si="9"/>
        <v>75000</v>
      </c>
      <c r="L39" s="8">
        <f t="shared" si="9"/>
        <v>75000</v>
      </c>
      <c r="M39" s="8">
        <f t="shared" si="9"/>
        <v>75000</v>
      </c>
      <c r="N39" s="8">
        <f t="shared" si="9"/>
        <v>75000</v>
      </c>
      <c r="O39" s="8">
        <f t="shared" si="9"/>
        <v>75000</v>
      </c>
      <c r="P39" s="8">
        <f t="shared" si="9"/>
        <v>75000</v>
      </c>
      <c r="Q39" s="8">
        <f t="shared" si="9"/>
        <v>75000</v>
      </c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8"/>
      <c r="B40" s="8" t="s">
        <v>35</v>
      </c>
      <c r="C40" s="8"/>
      <c r="D40" s="9" t="s">
        <v>101</v>
      </c>
      <c r="E40" s="8"/>
      <c r="F40" s="17">
        <f>PI()</f>
        <v>3.1415926535897931</v>
      </c>
      <c r="G40" s="17">
        <f>PI()</f>
        <v>3.1415926535897931</v>
      </c>
      <c r="H40" s="17">
        <f>PI()</f>
        <v>3.1415926535897931</v>
      </c>
      <c r="I40" s="17">
        <f>PI()</f>
        <v>3.1415926535897931</v>
      </c>
      <c r="J40" s="17">
        <f>PI()</f>
        <v>3.1415926535897931</v>
      </c>
      <c r="K40" s="17">
        <f>PI()</f>
        <v>3.1415926535897931</v>
      </c>
      <c r="L40" s="17">
        <f>PI()</f>
        <v>3.1415926535897931</v>
      </c>
      <c r="M40" s="17">
        <f>PI()</f>
        <v>3.1415926535897931</v>
      </c>
      <c r="N40" s="17">
        <f>PI()</f>
        <v>3.1415926535897931</v>
      </c>
      <c r="O40" s="17">
        <f>PI()</f>
        <v>3.1415926535897931</v>
      </c>
      <c r="P40" s="17">
        <f>PI()</f>
        <v>3.1415926535897931</v>
      </c>
      <c r="Q40" s="17">
        <f>PI()</f>
        <v>3.1415926535897931</v>
      </c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8"/>
      <c r="B41" s="8" t="s">
        <v>94</v>
      </c>
      <c r="C41" s="8"/>
      <c r="D41" s="9" t="s">
        <v>101</v>
      </c>
      <c r="E41" s="8"/>
      <c r="F41" s="17">
        <f>F8</f>
        <v>9.3983739837398375</v>
      </c>
      <c r="G41" s="17">
        <f>F41</f>
        <v>9.3983739837398375</v>
      </c>
      <c r="H41" s="17">
        <f t="shared" ref="H41:Q42" si="10">G41</f>
        <v>9.3983739837398375</v>
      </c>
      <c r="I41" s="17">
        <f t="shared" si="10"/>
        <v>9.3983739837398375</v>
      </c>
      <c r="J41" s="17">
        <f t="shared" si="10"/>
        <v>9.3983739837398375</v>
      </c>
      <c r="K41" s="17">
        <f t="shared" si="10"/>
        <v>9.3983739837398375</v>
      </c>
      <c r="L41" s="17">
        <f t="shared" si="10"/>
        <v>9.3983739837398375</v>
      </c>
      <c r="M41" s="17">
        <f t="shared" si="10"/>
        <v>9.3983739837398375</v>
      </c>
      <c r="N41" s="17">
        <f t="shared" si="10"/>
        <v>9.3983739837398375</v>
      </c>
      <c r="O41" s="17">
        <f t="shared" si="10"/>
        <v>9.3983739837398375</v>
      </c>
      <c r="P41" s="17">
        <f t="shared" si="10"/>
        <v>9.3983739837398375</v>
      </c>
      <c r="Q41" s="17">
        <f t="shared" si="10"/>
        <v>9.3983739837398375</v>
      </c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8"/>
      <c r="B42" s="8" t="s">
        <v>18</v>
      </c>
      <c r="C42" s="8"/>
      <c r="D42" s="9" t="s">
        <v>101</v>
      </c>
      <c r="E42" s="8"/>
      <c r="F42" s="17">
        <f>F10</f>
        <v>0.75</v>
      </c>
      <c r="G42" s="17">
        <f>F42</f>
        <v>0.75</v>
      </c>
      <c r="H42" s="17">
        <f t="shared" si="10"/>
        <v>0.75</v>
      </c>
      <c r="I42" s="17">
        <f t="shared" si="10"/>
        <v>0.75</v>
      </c>
      <c r="J42" s="17">
        <f t="shared" si="10"/>
        <v>0.75</v>
      </c>
      <c r="K42" s="17">
        <f t="shared" si="10"/>
        <v>0.75</v>
      </c>
      <c r="L42" s="17">
        <f t="shared" si="10"/>
        <v>0.75</v>
      </c>
      <c r="M42" s="17">
        <f t="shared" si="10"/>
        <v>0.75</v>
      </c>
      <c r="N42" s="17">
        <f t="shared" si="10"/>
        <v>0.75</v>
      </c>
      <c r="O42" s="17">
        <f t="shared" si="10"/>
        <v>0.75</v>
      </c>
      <c r="P42" s="17">
        <f t="shared" si="10"/>
        <v>0.75</v>
      </c>
      <c r="Q42" s="17">
        <f t="shared" si="10"/>
        <v>0.75</v>
      </c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8"/>
      <c r="B43" s="8"/>
      <c r="C43" s="8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40" t="s">
        <v>19</v>
      </c>
      <c r="B44" s="40"/>
      <c r="C44" s="40"/>
      <c r="D44" s="41" t="s">
        <v>56</v>
      </c>
      <c r="E44" s="40"/>
      <c r="F44" s="42">
        <f>SQRT((1/(6*F35))*(F46+SQRT(F46^2+12*F35*F38)))</f>
        <v>234.15060136822007</v>
      </c>
      <c r="G44" s="42">
        <f t="shared" ref="G44:Q44" si="11">SQRT((1/(6*G35))*(G46+SQRT(G46^2+12*G35*G38)))</f>
        <v>237.98533057971289</v>
      </c>
      <c r="H44" s="42">
        <f t="shared" si="11"/>
        <v>242.03063094913048</v>
      </c>
      <c r="I44" s="42">
        <f t="shared" si="11"/>
        <v>246.31098241066596</v>
      </c>
      <c r="J44" s="42">
        <f t="shared" si="11"/>
        <v>250.85515794527311</v>
      </c>
      <c r="K44" s="42">
        <f t="shared" si="11"/>
        <v>255.69711805421258</v>
      </c>
      <c r="L44" s="42">
        <f t="shared" si="11"/>
        <v>260.87709654029777</v>
      </c>
      <c r="M44" s="42">
        <f t="shared" si="11"/>
        <v>266.44291373431258</v>
      </c>
      <c r="N44" s="42">
        <f t="shared" si="11"/>
        <v>272.45155745221939</v>
      </c>
      <c r="O44" s="42">
        <f t="shared" si="11"/>
        <v>278.97107577942006</v>
      </c>
      <c r="P44" s="42">
        <f t="shared" si="11"/>
        <v>286.08282940244226</v>
      </c>
      <c r="Q44" s="42">
        <f t="shared" si="11"/>
        <v>293.88415544774477</v>
      </c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8"/>
      <c r="B45" s="8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40" t="s">
        <v>20</v>
      </c>
      <c r="B46" s="40" t="s">
        <v>39</v>
      </c>
      <c r="C46" s="40"/>
      <c r="D46" s="41" t="s">
        <v>58</v>
      </c>
      <c r="E46" s="40"/>
      <c r="F46" s="43">
        <f>2*((F48+F49*F54+(F50+F51*F54)*F47)*F55^F52)*F53</f>
        <v>241920</v>
      </c>
      <c r="G46" s="43">
        <f>2*((G48+G49*G54+(G50+G51*G54)*G47)*G55^G52)*G53</f>
        <v>226022.51480378181</v>
      </c>
      <c r="H46" s="43">
        <f t="shared" ref="H46:Q46" si="12">2*((H48+H49*H54+(H50+H51*H54)*H47)*H55^H52)*H53</f>
        <v>210834.81844347925</v>
      </c>
      <c r="I46" s="43">
        <f t="shared" si="12"/>
        <v>196340.86815487727</v>
      </c>
      <c r="J46" s="43">
        <f t="shared" si="12"/>
        <v>182524.61325545775</v>
      </c>
      <c r="K46" s="43">
        <f t="shared" si="12"/>
        <v>169369.99494868683</v>
      </c>
      <c r="L46" s="43">
        <f t="shared" si="12"/>
        <v>156860.94611848658</v>
      </c>
      <c r="M46" s="43">
        <f t="shared" si="12"/>
        <v>144981.39111313675</v>
      </c>
      <c r="N46" s="43">
        <f t="shared" si="12"/>
        <v>133715.2455177723</v>
      </c>
      <c r="O46" s="43">
        <f t="shared" si="12"/>
        <v>123046.41591455293</v>
      </c>
      <c r="P46" s="43">
        <f t="shared" si="12"/>
        <v>112958.79962947856</v>
      </c>
      <c r="Q46" s="43">
        <f t="shared" si="12"/>
        <v>103436.28446470638</v>
      </c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8"/>
      <c r="B47" s="8"/>
      <c r="C47" s="8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6.5">
      <c r="A48" s="8"/>
      <c r="B48" s="8" t="s">
        <v>82</v>
      </c>
      <c r="C48" s="8"/>
      <c r="D48" s="9" t="s">
        <v>101</v>
      </c>
      <c r="E48" s="8"/>
      <c r="F48" s="8">
        <v>0.88</v>
      </c>
      <c r="G48" s="8">
        <f t="shared" ref="G48:G54" si="13">F48</f>
        <v>0.88</v>
      </c>
      <c r="H48" s="8">
        <f t="shared" ref="H48:Q48" si="14">G48</f>
        <v>0.88</v>
      </c>
      <c r="I48" s="8">
        <f t="shared" si="14"/>
        <v>0.88</v>
      </c>
      <c r="J48" s="8">
        <f t="shared" si="14"/>
        <v>0.88</v>
      </c>
      <c r="K48" s="8">
        <f t="shared" si="14"/>
        <v>0.88</v>
      </c>
      <c r="L48" s="8">
        <f t="shared" si="14"/>
        <v>0.88</v>
      </c>
      <c r="M48" s="8">
        <f t="shared" si="14"/>
        <v>0.88</v>
      </c>
      <c r="N48" s="8">
        <f t="shared" si="14"/>
        <v>0.88</v>
      </c>
      <c r="O48" s="8">
        <f t="shared" si="14"/>
        <v>0.88</v>
      </c>
      <c r="P48" s="8">
        <f t="shared" si="14"/>
        <v>0.88</v>
      </c>
      <c r="Q48" s="8">
        <f t="shared" si="14"/>
        <v>0.88</v>
      </c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6.5">
      <c r="A49" s="8"/>
      <c r="B49" s="8" t="s">
        <v>83</v>
      </c>
      <c r="C49" s="8"/>
      <c r="D49" s="9" t="s">
        <v>101</v>
      </c>
      <c r="E49" s="8"/>
      <c r="F49" s="8">
        <v>-1.6E-2</v>
      </c>
      <c r="G49" s="8">
        <f t="shared" si="13"/>
        <v>-1.6E-2</v>
      </c>
      <c r="H49" s="8">
        <f t="shared" ref="H49:Q49" si="15">G49</f>
        <v>-1.6E-2</v>
      </c>
      <c r="I49" s="8">
        <f t="shared" si="15"/>
        <v>-1.6E-2</v>
      </c>
      <c r="J49" s="8">
        <f t="shared" si="15"/>
        <v>-1.6E-2</v>
      </c>
      <c r="K49" s="8">
        <f t="shared" si="15"/>
        <v>-1.6E-2</v>
      </c>
      <c r="L49" s="8">
        <f t="shared" si="15"/>
        <v>-1.6E-2</v>
      </c>
      <c r="M49" s="8">
        <f t="shared" si="15"/>
        <v>-1.6E-2</v>
      </c>
      <c r="N49" s="8">
        <f t="shared" si="15"/>
        <v>-1.6E-2</v>
      </c>
      <c r="O49" s="8">
        <f t="shared" si="15"/>
        <v>-1.6E-2</v>
      </c>
      <c r="P49" s="8">
        <f t="shared" si="15"/>
        <v>-1.6E-2</v>
      </c>
      <c r="Q49" s="8">
        <f t="shared" si="15"/>
        <v>-1.6E-2</v>
      </c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6.5">
      <c r="A50" s="8"/>
      <c r="B50" s="8" t="s">
        <v>84</v>
      </c>
      <c r="C50" s="8"/>
      <c r="D50" s="9" t="s">
        <v>101</v>
      </c>
      <c r="E50" s="8"/>
      <c r="F50" s="8">
        <v>-0.3</v>
      </c>
      <c r="G50" s="8">
        <f t="shared" si="13"/>
        <v>-0.3</v>
      </c>
      <c r="H50" s="8">
        <f t="shared" ref="H50:Q50" si="16">G50</f>
        <v>-0.3</v>
      </c>
      <c r="I50" s="8">
        <f t="shared" si="16"/>
        <v>-0.3</v>
      </c>
      <c r="J50" s="8">
        <f t="shared" si="16"/>
        <v>-0.3</v>
      </c>
      <c r="K50" s="8">
        <f t="shared" si="16"/>
        <v>-0.3</v>
      </c>
      <c r="L50" s="8">
        <f t="shared" si="16"/>
        <v>-0.3</v>
      </c>
      <c r="M50" s="8">
        <f t="shared" si="16"/>
        <v>-0.3</v>
      </c>
      <c r="N50" s="8">
        <f t="shared" si="16"/>
        <v>-0.3</v>
      </c>
      <c r="O50" s="8">
        <f t="shared" si="16"/>
        <v>-0.3</v>
      </c>
      <c r="P50" s="8">
        <f t="shared" si="16"/>
        <v>-0.3</v>
      </c>
      <c r="Q50" s="8">
        <f t="shared" si="16"/>
        <v>-0.3</v>
      </c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6.5">
      <c r="A51" s="8"/>
      <c r="B51" s="8" t="s">
        <v>85</v>
      </c>
      <c r="C51" s="8"/>
      <c r="D51" s="9" t="s">
        <v>101</v>
      </c>
      <c r="E51" s="8"/>
      <c r="F51" s="8">
        <v>0</v>
      </c>
      <c r="G51" s="8">
        <f t="shared" si="13"/>
        <v>0</v>
      </c>
      <c r="H51" s="8">
        <f t="shared" ref="H51:Q51" si="17">G51</f>
        <v>0</v>
      </c>
      <c r="I51" s="8">
        <f t="shared" si="17"/>
        <v>0</v>
      </c>
      <c r="J51" s="8">
        <f t="shared" si="17"/>
        <v>0</v>
      </c>
      <c r="K51" s="8">
        <f t="shared" si="17"/>
        <v>0</v>
      </c>
      <c r="L51" s="8">
        <f t="shared" si="17"/>
        <v>0</v>
      </c>
      <c r="M51" s="8">
        <f t="shared" si="17"/>
        <v>0</v>
      </c>
      <c r="N51" s="8">
        <f t="shared" si="17"/>
        <v>0</v>
      </c>
      <c r="O51" s="8">
        <f t="shared" si="17"/>
        <v>0</v>
      </c>
      <c r="P51" s="8">
        <f t="shared" si="17"/>
        <v>0</v>
      </c>
      <c r="Q51" s="8">
        <f t="shared" si="17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8"/>
      <c r="B52" s="8" t="s">
        <v>99</v>
      </c>
      <c r="C52" s="8"/>
      <c r="D52" s="9" t="s">
        <v>101</v>
      </c>
      <c r="E52" s="8"/>
      <c r="F52" s="8">
        <v>0.7</v>
      </c>
      <c r="G52" s="8">
        <f t="shared" si="13"/>
        <v>0.7</v>
      </c>
      <c r="H52" s="8">
        <f t="shared" ref="H52:Q52" si="18">G52</f>
        <v>0.7</v>
      </c>
      <c r="I52" s="8">
        <f t="shared" si="18"/>
        <v>0.7</v>
      </c>
      <c r="J52" s="8">
        <f t="shared" si="18"/>
        <v>0.7</v>
      </c>
      <c r="K52" s="8">
        <f t="shared" si="18"/>
        <v>0.7</v>
      </c>
      <c r="L52" s="8">
        <f t="shared" si="18"/>
        <v>0.7</v>
      </c>
      <c r="M52" s="8">
        <f t="shared" si="18"/>
        <v>0.7</v>
      </c>
      <c r="N52" s="8">
        <f t="shared" si="18"/>
        <v>0.7</v>
      </c>
      <c r="O52" s="8">
        <f t="shared" si="18"/>
        <v>0.7</v>
      </c>
      <c r="P52" s="8">
        <f t="shared" si="18"/>
        <v>0.7</v>
      </c>
      <c r="Q52" s="8">
        <f t="shared" si="18"/>
        <v>0.7</v>
      </c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6.5">
      <c r="A53" s="8"/>
      <c r="B53" s="55" t="s">
        <v>109</v>
      </c>
      <c r="C53" s="8"/>
      <c r="D53" s="9" t="s">
        <v>58</v>
      </c>
      <c r="E53" s="8"/>
      <c r="F53" s="8">
        <f>F13</f>
        <v>150000</v>
      </c>
      <c r="G53" s="8">
        <f t="shared" si="13"/>
        <v>150000</v>
      </c>
      <c r="H53" s="8">
        <f t="shared" ref="H53:P54" si="19">G53</f>
        <v>150000</v>
      </c>
      <c r="I53" s="8">
        <f t="shared" si="19"/>
        <v>150000</v>
      </c>
      <c r="J53" s="8">
        <f t="shared" si="19"/>
        <v>150000</v>
      </c>
      <c r="K53" s="8">
        <f t="shared" si="19"/>
        <v>150000</v>
      </c>
      <c r="L53" s="8">
        <f t="shared" si="19"/>
        <v>150000</v>
      </c>
      <c r="M53" s="8">
        <f t="shared" si="19"/>
        <v>150000</v>
      </c>
      <c r="N53" s="8">
        <f t="shared" si="19"/>
        <v>150000</v>
      </c>
      <c r="O53" s="8">
        <f t="shared" si="19"/>
        <v>150000</v>
      </c>
      <c r="P53" s="8">
        <f t="shared" si="19"/>
        <v>150000</v>
      </c>
      <c r="Q53" s="8">
        <f>P53</f>
        <v>150000</v>
      </c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8"/>
      <c r="B54" s="8" t="s">
        <v>36</v>
      </c>
      <c r="C54" s="8"/>
      <c r="D54" s="9" t="s">
        <v>101</v>
      </c>
      <c r="E54" s="8"/>
      <c r="F54" s="8">
        <f>F12</f>
        <v>4.5999999999999996</v>
      </c>
      <c r="G54" s="8">
        <f t="shared" si="13"/>
        <v>4.5999999999999996</v>
      </c>
      <c r="H54" s="8">
        <f t="shared" si="19"/>
        <v>4.5999999999999996</v>
      </c>
      <c r="I54" s="8">
        <f t="shared" si="19"/>
        <v>4.5999999999999996</v>
      </c>
      <c r="J54" s="8">
        <f t="shared" si="19"/>
        <v>4.5999999999999996</v>
      </c>
      <c r="K54" s="8">
        <f t="shared" si="19"/>
        <v>4.5999999999999996</v>
      </c>
      <c r="L54" s="8">
        <f t="shared" si="19"/>
        <v>4.5999999999999996</v>
      </c>
      <c r="M54" s="8">
        <f t="shared" si="19"/>
        <v>4.5999999999999996</v>
      </c>
      <c r="N54" s="8">
        <f t="shared" si="19"/>
        <v>4.5999999999999996</v>
      </c>
      <c r="O54" s="8">
        <f t="shared" si="19"/>
        <v>4.5999999999999996</v>
      </c>
      <c r="P54" s="8">
        <f t="shared" si="19"/>
        <v>4.5999999999999996</v>
      </c>
      <c r="Q54" s="8">
        <f>P54</f>
        <v>4.5999999999999996</v>
      </c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8"/>
      <c r="B55" s="8" t="s">
        <v>38</v>
      </c>
      <c r="C55" s="8"/>
      <c r="D55" s="9" t="s">
        <v>101</v>
      </c>
      <c r="E55" s="8"/>
      <c r="F55" s="8">
        <f>F26/F56</f>
        <v>1</v>
      </c>
      <c r="G55" s="17">
        <f t="shared" ref="G55:Q55" si="20">G26/G56</f>
        <v>0.90746204568852407</v>
      </c>
      <c r="H55" s="17">
        <f t="shared" si="20"/>
        <v>0.8216223210340321</v>
      </c>
      <c r="I55" s="17">
        <f t="shared" si="20"/>
        <v>0.74213718094604753</v>
      </c>
      <c r="J55" s="17">
        <f t="shared" si="20"/>
        <v>0.66867302617606295</v>
      </c>
      <c r="K55" s="17">
        <f t="shared" si="20"/>
        <v>0.60090624204196097</v>
      </c>
      <c r="L55" s="17">
        <f t="shared" si="20"/>
        <v>0.53852313603868451</v>
      </c>
      <c r="M55" s="17">
        <f t="shared" si="20"/>
        <v>0.48121987428651319</v>
      </c>
      <c r="N55" s="17">
        <f t="shared" si="20"/>
        <v>0.42870241676485921</v>
      </c>
      <c r="O55" s="17">
        <f t="shared" si="20"/>
        <v>0.38068645127574036</v>
      </c>
      <c r="P55" s="17">
        <f t="shared" si="20"/>
        <v>0.33689732607692768</v>
      </c>
      <c r="Q55" s="17">
        <f t="shared" si="20"/>
        <v>0.29706998112017752</v>
      </c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.75">
      <c r="A56" s="8"/>
      <c r="B56" s="8" t="s">
        <v>81</v>
      </c>
      <c r="C56" s="8"/>
      <c r="D56" s="9" t="s">
        <v>111</v>
      </c>
      <c r="E56" s="8"/>
      <c r="F56" s="8">
        <v>1.2250000000000001</v>
      </c>
      <c r="G56" s="8">
        <v>1.2250000000000001</v>
      </c>
      <c r="H56" s="8">
        <v>1.2250000000000001</v>
      </c>
      <c r="I56" s="8">
        <v>1.2250000000000001</v>
      </c>
      <c r="J56" s="8">
        <v>1.2250000000000001</v>
      </c>
      <c r="K56" s="8">
        <v>1.2250000000000001</v>
      </c>
      <c r="L56" s="8">
        <v>1.2250000000000001</v>
      </c>
      <c r="M56" s="8">
        <v>1.2250000000000001</v>
      </c>
      <c r="N56" s="8">
        <v>1.2250000000000001</v>
      </c>
      <c r="O56" s="8">
        <v>1.2250000000000001</v>
      </c>
      <c r="P56" s="8">
        <v>1.2250000000000001</v>
      </c>
      <c r="Q56" s="8">
        <v>1.2250000000000001</v>
      </c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A57" s="8"/>
      <c r="B57" s="8"/>
      <c r="C57" s="8"/>
      <c r="D57" s="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thickBot="1">
      <c r="A58" s="44" t="s">
        <v>21</v>
      </c>
      <c r="B58" s="44"/>
      <c r="C58" s="44"/>
      <c r="D58" s="45" t="s">
        <v>12</v>
      </c>
      <c r="E58" s="44"/>
      <c r="F58" s="46">
        <f>F39*F29</f>
        <v>735204.86237360083</v>
      </c>
      <c r="G58" s="46">
        <f t="shared" ref="G58:Q58" si="21">G39*G29</f>
        <v>734974.44480473478</v>
      </c>
      <c r="H58" s="46">
        <f t="shared" si="21"/>
        <v>734744.13554024801</v>
      </c>
      <c r="I58" s="46">
        <f t="shared" si="21"/>
        <v>734513.93451227539</v>
      </c>
      <c r="J58" s="46">
        <f t="shared" si="21"/>
        <v>734283.84165300464</v>
      </c>
      <c r="K58" s="46">
        <f t="shared" si="21"/>
        <v>734053.85689467716</v>
      </c>
      <c r="L58" s="46">
        <f t="shared" si="21"/>
        <v>733823.98016958695</v>
      </c>
      <c r="M58" s="46">
        <f t="shared" si="21"/>
        <v>733594.21141008078</v>
      </c>
      <c r="N58" s="46">
        <f t="shared" si="21"/>
        <v>733364.55054855917</v>
      </c>
      <c r="O58" s="46">
        <f t="shared" si="21"/>
        <v>733134.99751747458</v>
      </c>
      <c r="P58" s="46">
        <f t="shared" si="21"/>
        <v>732905.55224933324</v>
      </c>
      <c r="Q58" s="46">
        <f t="shared" si="21"/>
        <v>732676.21467669355</v>
      </c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>
      <c r="A60" s="2" t="s">
        <v>8</v>
      </c>
      <c r="B60" s="2"/>
      <c r="C60" s="2"/>
      <c r="D60" s="9" t="s">
        <v>11</v>
      </c>
      <c r="E60" s="2"/>
      <c r="F60" s="2">
        <v>0</v>
      </c>
      <c r="G60" s="2">
        <v>1000</v>
      </c>
      <c r="H60" s="2">
        <v>2000</v>
      </c>
      <c r="I60" s="2">
        <v>3000</v>
      </c>
      <c r="J60" s="2">
        <v>4000</v>
      </c>
      <c r="K60" s="2">
        <v>5000</v>
      </c>
      <c r="L60" s="2">
        <v>6000</v>
      </c>
      <c r="M60" s="2">
        <v>7000</v>
      </c>
      <c r="N60" s="2">
        <v>8000</v>
      </c>
      <c r="O60" s="2">
        <v>9000</v>
      </c>
      <c r="P60" s="2">
        <v>10000</v>
      </c>
      <c r="Q60" s="2">
        <v>11000</v>
      </c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>
      <c r="A61" s="2" t="s">
        <v>23</v>
      </c>
      <c r="B61" s="2"/>
      <c r="C61" s="2"/>
      <c r="D61" s="9" t="s">
        <v>56</v>
      </c>
      <c r="E61" s="2"/>
      <c r="F61" s="3">
        <f>(F46*F44-F33*F44)/F58</f>
        <v>48.855575565981859</v>
      </c>
      <c r="G61" s="3">
        <f t="shared" ref="G61:Q61" si="22">(G46*G44-G33*G44)/G58</f>
        <v>46.070923930136139</v>
      </c>
      <c r="H61" s="3">
        <f t="shared" si="22"/>
        <v>43.347499437104538</v>
      </c>
      <c r="I61" s="3">
        <f t="shared" si="22"/>
        <v>40.682390536344805</v>
      </c>
      <c r="J61" s="3">
        <f t="shared" si="22"/>
        <v>38.072310344359096</v>
      </c>
      <c r="K61" s="3">
        <f t="shared" si="22"/>
        <v>35.513533443430461</v>
      </c>
      <c r="L61" s="3">
        <f t="shared" si="22"/>
        <v>33.001821237787205</v>
      </c>
      <c r="M61" s="3">
        <f t="shared" si="22"/>
        <v>30.532333787366156</v>
      </c>
      <c r="N61" s="3">
        <f t="shared" si="22"/>
        <v>28.099525666780583</v>
      </c>
      <c r="O61" s="3">
        <f t="shared" si="22"/>
        <v>25.697022939046487</v>
      </c>
      <c r="P61" s="3">
        <f t="shared" si="22"/>
        <v>23.317477747734397</v>
      </c>
      <c r="Q61" s="3">
        <f t="shared" si="22"/>
        <v>20.952396246502392</v>
      </c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A62" s="2" t="s">
        <v>45</v>
      </c>
      <c r="B62" s="2"/>
      <c r="C62" s="2"/>
      <c r="D62" s="9" t="s">
        <v>56</v>
      </c>
      <c r="E62" s="2"/>
      <c r="F62" s="3">
        <f>T62*F60+F61</f>
        <v>48.855575565981859</v>
      </c>
      <c r="G62" s="3">
        <f>T62*G60+F61</f>
        <v>46.318922900574634</v>
      </c>
      <c r="H62" s="3">
        <f>T62*H60+F61</f>
        <v>43.78227023516741</v>
      </c>
      <c r="I62" s="3">
        <f>T62*I60+F61</f>
        <v>41.245617569760185</v>
      </c>
      <c r="J62" s="3">
        <f>T62*J60+F61</f>
        <v>38.70896490435296</v>
      </c>
      <c r="K62" s="3">
        <f>T62*K60+F61</f>
        <v>36.172312238945736</v>
      </c>
      <c r="L62" s="3">
        <f>T62*L60+F61</f>
        <v>33.635659573538518</v>
      </c>
      <c r="M62" s="3">
        <f>T62*M60+F61</f>
        <v>31.09900690813129</v>
      </c>
      <c r="N62" s="3">
        <f>T62*N60+F61</f>
        <v>28.562354242724066</v>
      </c>
      <c r="O62" s="3">
        <f>T62*O60+F61</f>
        <v>26.025701577316841</v>
      </c>
      <c r="P62" s="3">
        <f>T62*P60+F61</f>
        <v>23.489048911909617</v>
      </c>
      <c r="Q62" s="3">
        <f>T62*Q60+F61</f>
        <v>20.952396246502396</v>
      </c>
      <c r="R62" s="2" t="s">
        <v>48</v>
      </c>
      <c r="S62" s="2"/>
      <c r="T62" s="2">
        <f>(F61-Q61)/(F60-Q60)</f>
        <v>-2.536652665407224E-3</v>
      </c>
      <c r="U62" s="2"/>
      <c r="V62" s="2"/>
      <c r="W62" s="2"/>
      <c r="X62" s="2"/>
      <c r="Y62" s="2"/>
      <c r="Z62" s="2"/>
      <c r="AA62" s="2"/>
    </row>
    <row r="63" spans="1:27">
      <c r="A63" s="2"/>
      <c r="B63" s="2"/>
      <c r="C63" s="2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s="2" t="s">
        <v>23</v>
      </c>
      <c r="B64" s="2"/>
      <c r="C64" s="2"/>
      <c r="D64" s="9" t="s">
        <v>101</v>
      </c>
      <c r="E64" s="2"/>
      <c r="F64" s="2">
        <f>F61/F61</f>
        <v>1</v>
      </c>
      <c r="G64" s="3">
        <f>G61/F61</f>
        <v>0.94300237785378438</v>
      </c>
      <c r="H64" s="3">
        <f>H61/F61</f>
        <v>0.88725798304354453</v>
      </c>
      <c r="I64" s="3">
        <f>I61/F61</f>
        <v>0.83270722051777357</v>
      </c>
      <c r="J64" s="3">
        <f>J61/F61</f>
        <v>0.7792828127250403</v>
      </c>
      <c r="K64" s="3">
        <f>K61/F61</f>
        <v>0.72690850597937762</v>
      </c>
      <c r="L64" s="3">
        <f>L61/F61</f>
        <v>0.67549754261346528</v>
      </c>
      <c r="M64" s="3">
        <f>M61/F61</f>
        <v>0.62495085634864211</v>
      </c>
      <c r="N64" s="3">
        <f>N61/F61</f>
        <v>0.57515494068493356</v>
      </c>
      <c r="O64" s="3">
        <f>O61/F61</f>
        <v>0.52597933073864611</v>
      </c>
      <c r="P64" s="3">
        <f>P61/F61</f>
        <v>0.47727362696286313</v>
      </c>
      <c r="Q64" s="3">
        <f>Q61/F61</f>
        <v>0.42886397312431923</v>
      </c>
      <c r="R64" s="2" t="s">
        <v>48</v>
      </c>
      <c r="S64" s="2"/>
      <c r="T64" s="2">
        <f>(F64-Q64)/(F60-Q60)</f>
        <v>-5.1921456988698253E-5</v>
      </c>
      <c r="U64" s="2"/>
      <c r="V64" s="2"/>
      <c r="W64" s="2"/>
      <c r="X64" s="2"/>
      <c r="Y64" s="2"/>
      <c r="Z64" s="2"/>
      <c r="AA64" s="2"/>
    </row>
    <row r="65" spans="1:27">
      <c r="A65" s="2" t="s">
        <v>45</v>
      </c>
      <c r="B65" s="2"/>
      <c r="C65" s="2"/>
      <c r="D65" s="9" t="s">
        <v>101</v>
      </c>
      <c r="E65" s="2"/>
      <c r="F65" s="2">
        <f>F64</f>
        <v>1</v>
      </c>
      <c r="G65" s="3">
        <f>T64*G60+1</f>
        <v>0.94807854301130179</v>
      </c>
      <c r="H65" s="3">
        <f>T64*H60+1</f>
        <v>0.89615708602260347</v>
      </c>
      <c r="I65" s="3">
        <f>T64*I60+1</f>
        <v>0.84423562903390525</v>
      </c>
      <c r="J65" s="3">
        <f>T64*J60+1</f>
        <v>0.79231417204520693</v>
      </c>
      <c r="K65" s="3">
        <f>T64*K60+1</f>
        <v>0.74039271505650872</v>
      </c>
      <c r="L65" s="3">
        <f>T64*L60+1</f>
        <v>0.68847125806781051</v>
      </c>
      <c r="M65" s="3">
        <f>T64*M60+1</f>
        <v>0.63654980107911219</v>
      </c>
      <c r="N65" s="3">
        <f>T64*N60+1</f>
        <v>0.58462834409041398</v>
      </c>
      <c r="O65" s="3">
        <f>T64*O60+1</f>
        <v>0.53270688710171576</v>
      </c>
      <c r="P65" s="3">
        <f>T64*P60+1</f>
        <v>0.48078543011301744</v>
      </c>
      <c r="Q65" s="3">
        <f>T64*Q60+1</f>
        <v>0.42886397312431923</v>
      </c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s="2"/>
      <c r="B66" s="2"/>
      <c r="C66" s="2"/>
      <c r="D66" s="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A67" s="2" t="s">
        <v>91</v>
      </c>
      <c r="B67" s="2"/>
      <c r="C67" s="2"/>
      <c r="D67" s="9" t="s">
        <v>101</v>
      </c>
      <c r="E67" s="2"/>
      <c r="F67" s="3">
        <f t="shared" ref="F67:Q67" si="23">1/F61</f>
        <v>2.0468492867297218E-2</v>
      </c>
      <c r="G67" s="3">
        <f t="shared" si="23"/>
        <v>2.1705664108591385E-2</v>
      </c>
      <c r="H67" s="3">
        <f t="shared" si="23"/>
        <v>2.3069381463421194E-2</v>
      </c>
      <c r="I67" s="3">
        <f t="shared" si="23"/>
        <v>2.4580659760065494E-2</v>
      </c>
      <c r="J67" s="3">
        <f t="shared" si="23"/>
        <v>2.62658081675404E-2</v>
      </c>
      <c r="K67" s="3">
        <f t="shared" si="23"/>
        <v>2.8158279479368081E-2</v>
      </c>
      <c r="L67" s="3">
        <f t="shared" si="23"/>
        <v>3.0301358000660774E-2</v>
      </c>
      <c r="M67" s="3">
        <f t="shared" si="23"/>
        <v>3.2752163885152653E-2</v>
      </c>
      <c r="N67" s="3">
        <f t="shared" si="23"/>
        <v>3.5587789340593944E-2</v>
      </c>
      <c r="O67" s="3">
        <f t="shared" si="23"/>
        <v>3.891501371081027E-2</v>
      </c>
      <c r="P67" s="3">
        <f t="shared" si="23"/>
        <v>4.288628516423322E-2</v>
      </c>
      <c r="Q67" s="3">
        <f t="shared" si="23"/>
        <v>4.772723788893269E-2</v>
      </c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s="2" t="s">
        <v>92</v>
      </c>
      <c r="B68" s="2"/>
      <c r="C68" s="2"/>
      <c r="D68" s="9" t="s">
        <v>101</v>
      </c>
      <c r="E68" s="2"/>
      <c r="F68" s="3">
        <f t="shared" ref="F68:Q68" si="24">1/F62</f>
        <v>2.0468492867297218E-2</v>
      </c>
      <c r="G68" s="3">
        <f t="shared" si="24"/>
        <v>2.1589448488397254E-2</v>
      </c>
      <c r="H68" s="3">
        <f t="shared" si="24"/>
        <v>2.2840295732238343E-2</v>
      </c>
      <c r="I68" s="3">
        <f t="shared" si="24"/>
        <v>2.4245000049003131E-2</v>
      </c>
      <c r="J68" s="3">
        <f t="shared" si="24"/>
        <v>2.5833808846889277E-2</v>
      </c>
      <c r="K68" s="3">
        <f t="shared" si="24"/>
        <v>2.7645454163787945E-2</v>
      </c>
      <c r="L68" s="3">
        <f t="shared" si="24"/>
        <v>2.9730352033492131E-2</v>
      </c>
      <c r="M68" s="3">
        <f t="shared" si="24"/>
        <v>3.2155367628106973E-2</v>
      </c>
      <c r="N68" s="3">
        <f t="shared" si="24"/>
        <v>3.501111958425971E-2</v>
      </c>
      <c r="O68" s="3">
        <f t="shared" si="24"/>
        <v>3.8423555923332638E-2</v>
      </c>
      <c r="P68" s="3">
        <f t="shared" si="24"/>
        <v>4.2573030681245315E-2</v>
      </c>
      <c r="Q68" s="3">
        <f t="shared" si="24"/>
        <v>4.7727237888932683E-2</v>
      </c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A69" s="2"/>
      <c r="B69" s="2"/>
      <c r="C69" s="2"/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s="48" t="s">
        <v>40</v>
      </c>
      <c r="B70" s="48"/>
      <c r="C70" s="48"/>
      <c r="D70" s="49" t="s">
        <v>100</v>
      </c>
      <c r="E70" s="48"/>
      <c r="F70" s="48">
        <v>0</v>
      </c>
      <c r="G70" s="50">
        <f t="shared" ref="G70:Q70" si="25">F70+((F67+G67)/2)*(G60-F60)</f>
        <v>21.0870784879443</v>
      </c>
      <c r="H70" s="50">
        <f t="shared" si="25"/>
        <v>43.474601273950583</v>
      </c>
      <c r="I70" s="50">
        <f t="shared" si="25"/>
        <v>67.299621885693924</v>
      </c>
      <c r="J70" s="50">
        <f t="shared" si="25"/>
        <v>92.722855849496867</v>
      </c>
      <c r="K70" s="50">
        <f t="shared" si="25"/>
        <v>119.9348996729511</v>
      </c>
      <c r="L70" s="50">
        <f t="shared" si="25"/>
        <v>149.16471841296553</v>
      </c>
      <c r="M70" s="50">
        <f t="shared" si="25"/>
        <v>180.69147935587225</v>
      </c>
      <c r="N70" s="50">
        <f t="shared" si="25"/>
        <v>214.86145596874553</v>
      </c>
      <c r="O70" s="50">
        <f t="shared" si="25"/>
        <v>252.11285749444764</v>
      </c>
      <c r="P70" s="50">
        <f t="shared" si="25"/>
        <v>293.0135069319694</v>
      </c>
      <c r="Q70" s="50">
        <f t="shared" si="25"/>
        <v>338.32026845855239</v>
      </c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2" t="s">
        <v>51</v>
      </c>
      <c r="B71" s="2"/>
      <c r="C71" s="2"/>
      <c r="D71" s="9" t="s">
        <v>100</v>
      </c>
      <c r="E71" s="2"/>
      <c r="F71" s="2">
        <v>0</v>
      </c>
      <c r="G71" s="3">
        <f t="shared" ref="G71:Q71" si="26">F71+((F68+G68)/2)*(G60-F60)</f>
        <v>21.028970677847237</v>
      </c>
      <c r="H71" s="3">
        <f t="shared" si="26"/>
        <v>43.24384278816504</v>
      </c>
      <c r="I71" s="3">
        <f t="shared" si="26"/>
        <v>66.786490678785782</v>
      </c>
      <c r="J71" s="3">
        <f t="shared" si="26"/>
        <v>91.825895126731979</v>
      </c>
      <c r="K71" s="3">
        <f t="shared" si="26"/>
        <v>118.56552663207059</v>
      </c>
      <c r="L71" s="3">
        <f t="shared" si="26"/>
        <v>147.25342973071062</v>
      </c>
      <c r="M71" s="3">
        <f t="shared" si="26"/>
        <v>178.19628956151018</v>
      </c>
      <c r="N71" s="3">
        <f t="shared" si="26"/>
        <v>211.77953316769353</v>
      </c>
      <c r="O71" s="3">
        <f t="shared" si="26"/>
        <v>248.49687092148969</v>
      </c>
      <c r="P71" s="3">
        <f t="shared" si="26"/>
        <v>288.99516422377866</v>
      </c>
      <c r="Q71" s="3">
        <f t="shared" si="26"/>
        <v>334.14529850886765</v>
      </c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>
      <c r="A72" s="2"/>
      <c r="B72" s="2"/>
      <c r="C72" s="2"/>
      <c r="D72" s="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8" t="s">
        <v>88</v>
      </c>
      <c r="B73" s="8"/>
      <c r="C73" s="8"/>
      <c r="D73" s="9" t="s">
        <v>43</v>
      </c>
      <c r="E73" s="8"/>
      <c r="F73" s="28">
        <f t="shared" ref="F73:Q73" si="27">(F64-F65)/F64*100</f>
        <v>0</v>
      </c>
      <c r="G73" s="28">
        <f t="shared" si="27"/>
        <v>-0.53829823516144781</v>
      </c>
      <c r="H73" s="28">
        <f t="shared" si="27"/>
        <v>-1.002989338966837</v>
      </c>
      <c r="I73" s="28">
        <f t="shared" si="27"/>
        <v>-1.38444920760545</v>
      </c>
      <c r="J73" s="28">
        <f t="shared" si="27"/>
        <v>-1.6722246541788648</v>
      </c>
      <c r="K73" s="28">
        <f t="shared" si="27"/>
        <v>-1.855007743920065</v>
      </c>
      <c r="L73" s="28">
        <f t="shared" si="27"/>
        <v>-1.9206162326143461</v>
      </c>
      <c r="M73" s="28">
        <f t="shared" si="27"/>
        <v>-1.8559770920610366</v>
      </c>
      <c r="N73" s="28">
        <f t="shared" si="27"/>
        <v>-1.6471045861483598</v>
      </c>
      <c r="O73" s="28">
        <f t="shared" si="27"/>
        <v>-1.2790533714741177</v>
      </c>
      <c r="P73" s="28">
        <f t="shared" si="27"/>
        <v>-0.73580498727778409</v>
      </c>
      <c r="Q73" s="28">
        <f t="shared" si="27"/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A74" s="51" t="s">
        <v>89</v>
      </c>
      <c r="B74" s="51"/>
      <c r="C74" s="51"/>
      <c r="D74" s="49" t="s">
        <v>43</v>
      </c>
      <c r="E74" s="51"/>
      <c r="F74" s="54">
        <v>0</v>
      </c>
      <c r="G74" s="54">
        <f t="shared" ref="G74:Q74" si="28">(G70-G71)/G70*100</f>
        <v>0.27556121693331642</v>
      </c>
      <c r="H74" s="54">
        <f t="shared" si="28"/>
        <v>0.53078919420431958</v>
      </c>
      <c r="I74" s="54">
        <f t="shared" si="28"/>
        <v>0.76245778583968471</v>
      </c>
      <c r="J74" s="54">
        <f t="shared" si="28"/>
        <v>0.96735666146951937</v>
      </c>
      <c r="K74" s="54">
        <f t="shared" si="28"/>
        <v>1.141763610604289</v>
      </c>
      <c r="L74" s="54">
        <f t="shared" si="28"/>
        <v>1.2813275837544</v>
      </c>
      <c r="M74" s="54">
        <f t="shared" si="28"/>
        <v>1.3809117083201143</v>
      </c>
      <c r="N74" s="54">
        <f t="shared" si="28"/>
        <v>1.4343767648583323</v>
      </c>
      <c r="O74" s="54">
        <f t="shared" si="28"/>
        <v>1.43427297159471</v>
      </c>
      <c r="P74" s="54">
        <f t="shared" si="28"/>
        <v>1.3713848041563848</v>
      </c>
      <c r="Q74" s="54">
        <f t="shared" si="28"/>
        <v>1.234028918428874</v>
      </c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s="8"/>
      <c r="B75" s="8"/>
      <c r="C75" s="8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thickBot="1">
      <c r="A76" s="13" t="s">
        <v>52</v>
      </c>
      <c r="B76" s="13"/>
      <c r="C76" s="13"/>
      <c r="D76" s="14" t="s">
        <v>100</v>
      </c>
      <c r="E76" s="13"/>
      <c r="F76" s="13">
        <v>0</v>
      </c>
      <c r="G76" s="19">
        <f>G70-F70</f>
        <v>21.0870784879443</v>
      </c>
      <c r="H76" s="19">
        <f>H70-G70</f>
        <v>22.387522786006283</v>
      </c>
      <c r="I76" s="19">
        <f t="shared" ref="I76:Q76" si="29">I70-H70</f>
        <v>23.825020611743341</v>
      </c>
      <c r="J76" s="19">
        <f t="shared" si="29"/>
        <v>25.423233963802943</v>
      </c>
      <c r="K76" s="19">
        <f t="shared" si="29"/>
        <v>27.212043823454238</v>
      </c>
      <c r="L76" s="19">
        <f t="shared" si="29"/>
        <v>29.229818740014423</v>
      </c>
      <c r="M76" s="19">
        <f t="shared" si="29"/>
        <v>31.526760942906719</v>
      </c>
      <c r="N76" s="19">
        <f t="shared" si="29"/>
        <v>34.169976612873285</v>
      </c>
      <c r="O76" s="19">
        <f>O70-N70</f>
        <v>37.251401525702107</v>
      </c>
      <c r="P76" s="19">
        <f t="shared" si="29"/>
        <v>40.900649437521764</v>
      </c>
      <c r="Q76" s="19">
        <f t="shared" si="29"/>
        <v>45.306761526582989</v>
      </c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workbookViewId="0"/>
  </sheetViews>
  <sheetFormatPr baseColWidth="10" defaultRowHeight="14.25"/>
  <cols>
    <col min="1" max="16384" width="11.42578125" style="62"/>
  </cols>
  <sheetData>
    <row r="1" spans="1:1">
      <c r="A1" s="63"/>
    </row>
    <row r="2" spans="1:1">
      <c r="A2" s="66" t="s">
        <v>130</v>
      </c>
    </row>
    <row r="3" spans="1:1">
      <c r="A3" s="64" t="s">
        <v>131</v>
      </c>
    </row>
    <row r="4" spans="1:1">
      <c r="A4" s="66"/>
    </row>
    <row r="5" spans="1:1">
      <c r="A5" s="66"/>
    </row>
    <row r="6" spans="1:1">
      <c r="A6" s="66"/>
    </row>
    <row r="7" spans="1:1">
      <c r="A7" s="66"/>
    </row>
    <row r="8" spans="1:1">
      <c r="A8" s="66"/>
    </row>
    <row r="9" spans="1:1">
      <c r="A9" s="66"/>
    </row>
    <row r="10" spans="1:1">
      <c r="A10" s="66"/>
    </row>
    <row r="11" spans="1:1">
      <c r="A11" s="66"/>
    </row>
    <row r="12" spans="1:1" ht="15.75">
      <c r="A12" s="67" t="s">
        <v>129</v>
      </c>
    </row>
    <row r="13" spans="1:1" ht="15.75">
      <c r="A13" s="67" t="s">
        <v>128</v>
      </c>
    </row>
    <row r="14" spans="1:1" ht="15.75">
      <c r="A14" s="67" t="s">
        <v>127</v>
      </c>
    </row>
    <row r="15" spans="1:1" ht="15.75">
      <c r="A15" s="67"/>
    </row>
    <row r="16" spans="1:1" ht="15.75">
      <c r="A16" s="67" t="s">
        <v>126</v>
      </c>
    </row>
    <row r="17" spans="1:1" ht="15.75">
      <c r="A17" s="67" t="s">
        <v>125</v>
      </c>
    </row>
    <row r="18" spans="1:1" ht="15.75">
      <c r="A18" s="67" t="s">
        <v>124</v>
      </c>
    </row>
    <row r="19" spans="1:1" ht="15.75">
      <c r="A19" s="67" t="s">
        <v>123</v>
      </c>
    </row>
    <row r="20" spans="1:1">
      <c r="A20" s="66"/>
    </row>
    <row r="21" spans="1:1">
      <c r="A21" s="65" t="s">
        <v>122</v>
      </c>
    </row>
    <row r="22" spans="1:1">
      <c r="A22" s="63"/>
    </row>
    <row r="23" spans="1:1">
      <c r="A23" s="64" t="s">
        <v>121</v>
      </c>
    </row>
    <row r="24" spans="1:1" ht="15">
      <c r="A24" s="68" t="s">
        <v>133</v>
      </c>
    </row>
    <row r="25" spans="1:1">
      <c r="A25" s="64" t="s">
        <v>120</v>
      </c>
    </row>
    <row r="26" spans="1:1" ht="15">
      <c r="A26" s="68" t="s">
        <v>132</v>
      </c>
    </row>
    <row r="27" spans="1:1">
      <c r="A27" s="63"/>
    </row>
    <row r="28" spans="1:1">
      <c r="A28" s="63"/>
    </row>
    <row r="29" spans="1:1">
      <c r="A29" s="63"/>
    </row>
    <row r="30" spans="1:1">
      <c r="A30" s="63"/>
    </row>
    <row r="31" spans="1:1">
      <c r="A31" s="63"/>
    </row>
    <row r="32" spans="1:1">
      <c r="A32" s="63"/>
    </row>
    <row r="33" spans="1:1">
      <c r="A33" s="63"/>
    </row>
    <row r="34" spans="1:1">
      <c r="A34" s="63"/>
    </row>
    <row r="35" spans="1:1">
      <c r="A35" s="63"/>
    </row>
    <row r="36" spans="1:1">
      <c r="A36" s="63"/>
    </row>
    <row r="37" spans="1:1">
      <c r="A37" s="63"/>
    </row>
    <row r="38" spans="1:1">
      <c r="A38" s="63"/>
    </row>
    <row r="39" spans="1:1">
      <c r="A39" s="63"/>
    </row>
    <row r="40" spans="1:1">
      <c r="A40" s="63"/>
    </row>
  </sheetData>
  <hyperlinks>
    <hyperlink ref="A21" r:id="rId1"/>
    <hyperlink ref="A24" r:id="rId2"/>
    <hyperlink ref="A26" r:id="rId3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Gesamt</vt:lpstr>
      <vt:lpstr>Bräunling</vt:lpstr>
      <vt:lpstr>Scholz</vt:lpstr>
      <vt:lpstr>Howe</vt:lpstr>
      <vt:lpstr>(c)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Dieter SCHOLZ</cp:lastModifiedBy>
  <dcterms:created xsi:type="dcterms:W3CDTF">2017-06-05T09:30:28Z</dcterms:created>
  <dcterms:modified xsi:type="dcterms:W3CDTF">2019-02-08T02:45:58Z</dcterms:modified>
</cp:coreProperties>
</file>